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codeName="ThisWorkbook" defaultThemeVersion="124226"/>
  <mc:AlternateContent xmlns:mc="http://schemas.openxmlformats.org/markup-compatibility/2006">
    <mc:Choice Requires="x15">
      <x15ac:absPath xmlns:x15ac="http://schemas.microsoft.com/office/spreadsheetml/2010/11/ac" url="https://detnov-my.sharepoint.com/personal/g_pacheco_jadebird_eu_com/Documents/Escritorio/Catálogo/"/>
    </mc:Choice>
  </mc:AlternateContent>
  <xr:revisionPtr revIDLastSave="1335" documentId="8_{B5BDCE80-2B72-4BBC-A07C-58C53D5D0714}" xr6:coauthVersionLast="47" xr6:coauthVersionMax="47" xr10:uidLastSave="{8E658FFD-EF9D-4F0A-B7FB-D7ECD9719669}"/>
  <workbookProtection lockStructure="1"/>
  <bookViews>
    <workbookView xWindow="-108" yWindow="-108" windowWidth="23256" windowHeight="12456" tabRatio="661" xr2:uid="{00000000-000D-0000-FFFF-FFFF00000000}"/>
  </bookViews>
  <sheets>
    <sheet name="System Calculation" sheetId="11" r:id="rId1"/>
    <sheet name="SC_Loop 1" sheetId="2" r:id="rId2"/>
    <sheet name="SC_Loop 2" sheetId="12" r:id="rId3"/>
    <sheet name="SC_Loop 3" sheetId="13" r:id="rId4"/>
    <sheet name="SC_Loop 4" sheetId="14" r:id="rId5"/>
    <sheet name="SC_Loop 5" sheetId="15" r:id="rId6"/>
    <sheet name="SC_Loop 6" sheetId="16" r:id="rId7"/>
    <sheet name="SC_Loop 7" sheetId="17" r:id="rId8"/>
    <sheet name="SC_Loop 8" sheetId="18" r:id="rId9"/>
    <sheet name="Data" sheetId="10" state="hidden" r:id="rId10"/>
  </sheets>
  <definedNames>
    <definedName name="_xlnm._FilterDatabase" localSheetId="1" hidden="1">'SC_Loop 1'!$A$18:$M$33</definedName>
    <definedName name="_xlnm._FilterDatabase" localSheetId="2" hidden="1">'SC_Loop 2'!$A$18:$M$33</definedName>
    <definedName name="_xlnm._FilterDatabase" localSheetId="3" hidden="1">'SC_Loop 3'!$A$18:$M$33</definedName>
    <definedName name="_xlnm._FilterDatabase" localSheetId="4" hidden="1">'SC_Loop 4'!$A$18:$M$33</definedName>
    <definedName name="_xlnm._FilterDatabase" localSheetId="5" hidden="1">'SC_Loop 5'!$A$18:$M$33</definedName>
    <definedName name="_xlnm._FilterDatabase" localSheetId="6" hidden="1">'SC_Loop 6'!$A$18:$M$33</definedName>
    <definedName name="_xlnm._FilterDatabase" localSheetId="7" hidden="1">'SC_Loop 7'!$A$18:$M$33</definedName>
    <definedName name="_xlnm._FilterDatabase" localSheetId="8" hidden="1">'SC_Loop 8'!$A$18:$M$33</definedName>
    <definedName name="_xlnm._FilterDatabase" localSheetId="0" hidden="1">'System Calculation'!#REF!</definedName>
    <definedName name="_xlnm.Print_Area" localSheetId="1">'SC_Loop 1'!$A:$M</definedName>
    <definedName name="_xlnm.Print_Area" localSheetId="2">'SC_Loop 2'!$A:$M</definedName>
    <definedName name="_xlnm.Print_Area" localSheetId="3">'SC_Loop 3'!$A:$M</definedName>
    <definedName name="_xlnm.Print_Area" localSheetId="4">'SC_Loop 4'!$A:$M</definedName>
    <definedName name="_xlnm.Print_Area" localSheetId="5">'SC_Loop 5'!$A:$M</definedName>
    <definedName name="_xlnm.Print_Area" localSheetId="6">'SC_Loop 6'!$A:$M</definedName>
    <definedName name="_xlnm.Print_Area" localSheetId="7">'SC_Loop 7'!$A:$M</definedName>
    <definedName name="_xlnm.Print_Area" localSheetId="8">'SC_Loop 8'!$A:$M</definedName>
    <definedName name="_xlnm.Print_Area" localSheetId="0">'System Calculation'!$A$1:$K$46</definedName>
    <definedName name="CAD_150_1">Data!#REF!</definedName>
    <definedName name="CAD_150_2">Data!#REF!</definedName>
    <definedName name="CAD_150_2_MB">Data!#REF!</definedName>
    <definedName name="CAD_150_4">Data!#REF!</definedName>
    <definedName name="CAD_150_4_P">Data!#REF!</definedName>
    <definedName name="CAD_150_8_4loop">Data!#REF!</definedName>
    <definedName name="CAD_150_8_6loop">Data!#REF!</definedName>
    <definedName name="CAD_150_8_8loop">Data!#REF!</definedName>
    <definedName name="CAD_150_8PLUS_4loop">Data!#REF!</definedName>
    <definedName name="CAD_150_8PLUS_6loop">Data!#REF!</definedName>
    <definedName name="CAD_150_8PLUS_8loop">Data!#REF!</definedName>
    <definedName name="CAD_150_8PLUS_P_4loop">Data!#REF!</definedName>
    <definedName name="CAD_150_8PLUS_P_6loop">Data!#REF!</definedName>
    <definedName name="CAD_150_8PLUS_P_8loop">Data!#REF!</definedName>
    <definedName name="Centrales">Data!#REF!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3" i="11" l="1"/>
  <c r="D30" i="11"/>
  <c r="D10" i="2" l="1"/>
  <c r="F43" i="11" l="1"/>
  <c r="F42" i="11"/>
  <c r="F41" i="11"/>
  <c r="F40" i="11"/>
  <c r="F39" i="11"/>
  <c r="F38" i="11"/>
  <c r="F37" i="11"/>
  <c r="C20" i="11" l="1"/>
  <c r="D20" i="11"/>
  <c r="C21" i="11"/>
  <c r="D21" i="11"/>
  <c r="C22" i="11"/>
  <c r="D22" i="11"/>
  <c r="D19" i="11"/>
  <c r="C19" i="11"/>
  <c r="C30" i="11"/>
  <c r="C13" i="11"/>
  <c r="D43" i="11"/>
  <c r="D42" i="11"/>
  <c r="D41" i="11"/>
  <c r="D40" i="11"/>
  <c r="D39" i="11"/>
  <c r="D38" i="11"/>
  <c r="D37" i="11"/>
  <c r="C43" i="11"/>
  <c r="C42" i="11"/>
  <c r="C41" i="11"/>
  <c r="C40" i="11"/>
  <c r="C39" i="11"/>
  <c r="C38" i="11"/>
  <c r="C37" i="11"/>
  <c r="B66" i="18"/>
  <c r="B67" i="18" s="1"/>
  <c r="B68" i="18" s="1"/>
  <c r="B69" i="18" s="1"/>
  <c r="H65" i="18"/>
  <c r="B65" i="18"/>
  <c r="D40" i="18"/>
  <c r="D39" i="18"/>
  <c r="D38" i="18"/>
  <c r="D37" i="18"/>
  <c r="D36" i="18"/>
  <c r="D35" i="18"/>
  <c r="J33" i="18"/>
  <c r="I33" i="18"/>
  <c r="B33" i="18"/>
  <c r="F32" i="18"/>
  <c r="E32" i="18"/>
  <c r="G32" i="18" s="1"/>
  <c r="D32" i="18"/>
  <c r="I31" i="18"/>
  <c r="F31" i="18"/>
  <c r="E31" i="18"/>
  <c r="G31" i="18" s="1"/>
  <c r="C31" i="18"/>
  <c r="D31" i="18" s="1"/>
  <c r="K30" i="18"/>
  <c r="M30" i="18" s="1"/>
  <c r="G30" i="18"/>
  <c r="F30" i="18"/>
  <c r="E30" i="18"/>
  <c r="D30" i="18"/>
  <c r="C30" i="18"/>
  <c r="M29" i="18"/>
  <c r="K29" i="18"/>
  <c r="G29" i="18"/>
  <c r="F29" i="18"/>
  <c r="E29" i="18"/>
  <c r="C29" i="18"/>
  <c r="D29" i="18" s="1"/>
  <c r="L28" i="18"/>
  <c r="M28" i="18" s="1"/>
  <c r="G28" i="18"/>
  <c r="H28" i="18" s="1"/>
  <c r="F28" i="18"/>
  <c r="E28" i="18"/>
  <c r="C28" i="18"/>
  <c r="D28" i="18" s="1"/>
  <c r="L27" i="18"/>
  <c r="M27" i="18" s="1"/>
  <c r="G27" i="18"/>
  <c r="H27" i="18" s="1"/>
  <c r="F27" i="18"/>
  <c r="E27" i="18"/>
  <c r="C27" i="18"/>
  <c r="D27" i="18" s="1"/>
  <c r="L26" i="18"/>
  <c r="L33" i="18" s="1"/>
  <c r="G26" i="18"/>
  <c r="H26" i="18" s="1"/>
  <c r="F26" i="18"/>
  <c r="E26" i="18"/>
  <c r="C26" i="18"/>
  <c r="D26" i="18" s="1"/>
  <c r="K25" i="18"/>
  <c r="M25" i="18" s="1"/>
  <c r="F25" i="18"/>
  <c r="G25" i="18" s="1"/>
  <c r="E25" i="18"/>
  <c r="C25" i="18"/>
  <c r="D25" i="18" s="1"/>
  <c r="M24" i="18"/>
  <c r="K24" i="18"/>
  <c r="F24" i="18"/>
  <c r="E24" i="18"/>
  <c r="G24" i="18" s="1"/>
  <c r="D24" i="18"/>
  <c r="C24" i="18"/>
  <c r="K23" i="18"/>
  <c r="M23" i="18" s="1"/>
  <c r="F23" i="18"/>
  <c r="E23" i="18"/>
  <c r="G23" i="18" s="1"/>
  <c r="D23" i="18"/>
  <c r="C23" i="18"/>
  <c r="J22" i="18"/>
  <c r="M22" i="18" s="1"/>
  <c r="F22" i="18"/>
  <c r="E22" i="18"/>
  <c r="G22" i="18" s="1"/>
  <c r="D22" i="18"/>
  <c r="M21" i="18"/>
  <c r="J21" i="18"/>
  <c r="F21" i="18"/>
  <c r="E21" i="18"/>
  <c r="G21" i="18" s="1"/>
  <c r="D21" i="18"/>
  <c r="M20" i="18"/>
  <c r="J20" i="18"/>
  <c r="G20" i="18"/>
  <c r="F20" i="18"/>
  <c r="E20" i="18"/>
  <c r="D20" i="18"/>
  <c r="M19" i="18"/>
  <c r="K19" i="18"/>
  <c r="K33" i="18" s="1"/>
  <c r="F19" i="18"/>
  <c r="E19" i="18"/>
  <c r="G19" i="18" s="1"/>
  <c r="D19" i="18"/>
  <c r="C19" i="18"/>
  <c r="D12" i="18"/>
  <c r="D10" i="18"/>
  <c r="B67" i="17"/>
  <c r="B68" i="17" s="1"/>
  <c r="B69" i="17" s="1"/>
  <c r="B66" i="17"/>
  <c r="H66" i="17" s="1"/>
  <c r="B65" i="17"/>
  <c r="H65" i="17" s="1"/>
  <c r="D40" i="17"/>
  <c r="D39" i="17"/>
  <c r="D38" i="17"/>
  <c r="D37" i="17"/>
  <c r="D36" i="17"/>
  <c r="D35" i="17"/>
  <c r="J33" i="17"/>
  <c r="B33" i="17"/>
  <c r="F32" i="17"/>
  <c r="G32" i="17" s="1"/>
  <c r="E32" i="17"/>
  <c r="D32" i="17"/>
  <c r="I31" i="17"/>
  <c r="I33" i="17" s="1"/>
  <c r="G31" i="17"/>
  <c r="F31" i="17"/>
  <c r="E31" i="17"/>
  <c r="C31" i="17"/>
  <c r="D31" i="17" s="1"/>
  <c r="K30" i="17"/>
  <c r="M30" i="17" s="1"/>
  <c r="F30" i="17"/>
  <c r="G30" i="17" s="1"/>
  <c r="E30" i="17"/>
  <c r="C30" i="17"/>
  <c r="D30" i="17" s="1"/>
  <c r="M29" i="17"/>
  <c r="K29" i="17"/>
  <c r="F29" i="17"/>
  <c r="E29" i="17"/>
  <c r="G29" i="17" s="1"/>
  <c r="C29" i="17"/>
  <c r="D29" i="17" s="1"/>
  <c r="L28" i="17"/>
  <c r="M28" i="17" s="1"/>
  <c r="F28" i="17"/>
  <c r="E28" i="17"/>
  <c r="G28" i="17" s="1"/>
  <c r="H28" i="17" s="1"/>
  <c r="C28" i="17"/>
  <c r="D28" i="17" s="1"/>
  <c r="L27" i="17"/>
  <c r="M27" i="17" s="1"/>
  <c r="F27" i="17"/>
  <c r="E27" i="17"/>
  <c r="G27" i="17" s="1"/>
  <c r="H27" i="17" s="1"/>
  <c r="C27" i="17"/>
  <c r="D27" i="17" s="1"/>
  <c r="L26" i="17"/>
  <c r="M26" i="17" s="1"/>
  <c r="F26" i="17"/>
  <c r="E26" i="17"/>
  <c r="G26" i="17" s="1"/>
  <c r="H26" i="17" s="1"/>
  <c r="C26" i="17"/>
  <c r="D26" i="17" s="1"/>
  <c r="K25" i="17"/>
  <c r="M25" i="17" s="1"/>
  <c r="F25" i="17"/>
  <c r="E25" i="17"/>
  <c r="G25" i="17" s="1"/>
  <c r="D25" i="17"/>
  <c r="C25" i="17"/>
  <c r="K24" i="17"/>
  <c r="M24" i="17" s="1"/>
  <c r="G24" i="17"/>
  <c r="F24" i="17"/>
  <c r="E24" i="17"/>
  <c r="C24" i="17"/>
  <c r="D24" i="17" s="1"/>
  <c r="K23" i="17"/>
  <c r="M23" i="17" s="1"/>
  <c r="F23" i="17"/>
  <c r="G23" i="17" s="1"/>
  <c r="E23" i="17"/>
  <c r="C23" i="17"/>
  <c r="D23" i="17" s="1"/>
  <c r="M22" i="17"/>
  <c r="J22" i="17"/>
  <c r="F22" i="17"/>
  <c r="E22" i="17"/>
  <c r="G22" i="17" s="1"/>
  <c r="D22" i="17"/>
  <c r="J21" i="17"/>
  <c r="M21" i="17" s="1"/>
  <c r="G21" i="17"/>
  <c r="F21" i="17"/>
  <c r="E21" i="17"/>
  <c r="D21" i="17"/>
  <c r="M20" i="17"/>
  <c r="J20" i="17"/>
  <c r="F20" i="17"/>
  <c r="E20" i="17"/>
  <c r="E33" i="17" s="1"/>
  <c r="D20" i="17"/>
  <c r="K19" i="17"/>
  <c r="K33" i="17" s="1"/>
  <c r="G19" i="17"/>
  <c r="F19" i="17"/>
  <c r="E19" i="17"/>
  <c r="C19" i="17"/>
  <c r="D19" i="17" s="1"/>
  <c r="D12" i="17"/>
  <c r="D10" i="17"/>
  <c r="B66" i="16"/>
  <c r="B67" i="16" s="1"/>
  <c r="B68" i="16" s="1"/>
  <c r="B69" i="16" s="1"/>
  <c r="B65" i="16"/>
  <c r="H65" i="16" s="1"/>
  <c r="D40" i="16"/>
  <c r="D39" i="16"/>
  <c r="D38" i="16"/>
  <c r="D37" i="16"/>
  <c r="D36" i="16"/>
  <c r="D35" i="16"/>
  <c r="J33" i="16"/>
  <c r="I33" i="16"/>
  <c r="B33" i="16"/>
  <c r="F32" i="16"/>
  <c r="G32" i="16" s="1"/>
  <c r="E32" i="16"/>
  <c r="D32" i="16"/>
  <c r="I31" i="16"/>
  <c r="F31" i="16"/>
  <c r="E31" i="16"/>
  <c r="G31" i="16" s="1"/>
  <c r="C31" i="16"/>
  <c r="D31" i="16" s="1"/>
  <c r="K30" i="16"/>
  <c r="M30" i="16" s="1"/>
  <c r="G30" i="16"/>
  <c r="F30" i="16"/>
  <c r="E30" i="16"/>
  <c r="D30" i="16"/>
  <c r="C30" i="16"/>
  <c r="M29" i="16"/>
  <c r="K29" i="16"/>
  <c r="G29" i="16"/>
  <c r="F29" i="16"/>
  <c r="E29" i="16"/>
  <c r="C29" i="16"/>
  <c r="D29" i="16" s="1"/>
  <c r="L28" i="16"/>
  <c r="M28" i="16" s="1"/>
  <c r="G28" i="16"/>
  <c r="H28" i="16" s="1"/>
  <c r="F28" i="16"/>
  <c r="E28" i="16"/>
  <c r="C28" i="16"/>
  <c r="D28" i="16" s="1"/>
  <c r="L27" i="16"/>
  <c r="M27" i="16" s="1"/>
  <c r="G27" i="16"/>
  <c r="H27" i="16" s="1"/>
  <c r="F27" i="16"/>
  <c r="E27" i="16"/>
  <c r="C27" i="16"/>
  <c r="D27" i="16" s="1"/>
  <c r="L26" i="16"/>
  <c r="L33" i="16" s="1"/>
  <c r="G26" i="16"/>
  <c r="H26" i="16" s="1"/>
  <c r="H33" i="16" s="1"/>
  <c r="B46" i="16" s="1"/>
  <c r="F26" i="16"/>
  <c r="E26" i="16"/>
  <c r="C26" i="16"/>
  <c r="D26" i="16" s="1"/>
  <c r="K25" i="16"/>
  <c r="M25" i="16" s="1"/>
  <c r="F25" i="16"/>
  <c r="G25" i="16" s="1"/>
  <c r="E25" i="16"/>
  <c r="C25" i="16"/>
  <c r="D25" i="16" s="1"/>
  <c r="K24" i="16"/>
  <c r="M24" i="16" s="1"/>
  <c r="G24" i="16"/>
  <c r="F24" i="16"/>
  <c r="E24" i="16"/>
  <c r="D24" i="16"/>
  <c r="C24" i="16"/>
  <c r="K23" i="16"/>
  <c r="M23" i="16" s="1"/>
  <c r="F23" i="16"/>
  <c r="G23" i="16" s="1"/>
  <c r="E23" i="16"/>
  <c r="D23" i="16"/>
  <c r="C23" i="16"/>
  <c r="J22" i="16"/>
  <c r="M22" i="16" s="1"/>
  <c r="F22" i="16"/>
  <c r="E22" i="16"/>
  <c r="G22" i="16" s="1"/>
  <c r="D22" i="16"/>
  <c r="M21" i="16"/>
  <c r="J21" i="16"/>
  <c r="F21" i="16"/>
  <c r="E21" i="16"/>
  <c r="G21" i="16" s="1"/>
  <c r="D21" i="16"/>
  <c r="M20" i="16"/>
  <c r="J20" i="16"/>
  <c r="G20" i="16"/>
  <c r="F20" i="16"/>
  <c r="E20" i="16"/>
  <c r="D20" i="16"/>
  <c r="K19" i="16"/>
  <c r="M19" i="16" s="1"/>
  <c r="G19" i="16"/>
  <c r="F19" i="16"/>
  <c r="E19" i="16"/>
  <c r="E33" i="16" s="1"/>
  <c r="D19" i="16"/>
  <c r="C19" i="16"/>
  <c r="D12" i="16"/>
  <c r="D10" i="16"/>
  <c r="H66" i="15"/>
  <c r="B66" i="15"/>
  <c r="B67" i="15" s="1"/>
  <c r="B68" i="15" s="1"/>
  <c r="B69" i="15" s="1"/>
  <c r="B65" i="15"/>
  <c r="H65" i="15" s="1"/>
  <c r="D40" i="15"/>
  <c r="D39" i="15"/>
  <c r="D38" i="15"/>
  <c r="D37" i="15"/>
  <c r="D36" i="15"/>
  <c r="D35" i="15"/>
  <c r="B33" i="15"/>
  <c r="F32" i="15"/>
  <c r="E32" i="15"/>
  <c r="G32" i="15" s="1"/>
  <c r="D32" i="15"/>
  <c r="I31" i="15"/>
  <c r="I33" i="15" s="1"/>
  <c r="F31" i="15"/>
  <c r="E31" i="15"/>
  <c r="G31" i="15" s="1"/>
  <c r="C31" i="15"/>
  <c r="D31" i="15" s="1"/>
  <c r="K30" i="15"/>
  <c r="M30" i="15" s="1"/>
  <c r="G30" i="15"/>
  <c r="F30" i="15"/>
  <c r="E30" i="15"/>
  <c r="D30" i="15"/>
  <c r="C30" i="15"/>
  <c r="M29" i="15"/>
  <c r="K29" i="15"/>
  <c r="F29" i="15"/>
  <c r="G29" i="15" s="1"/>
  <c r="E29" i="15"/>
  <c r="C29" i="15"/>
  <c r="D29" i="15" s="1"/>
  <c r="L28" i="15"/>
  <c r="M28" i="15" s="1"/>
  <c r="F28" i="15"/>
  <c r="G28" i="15" s="1"/>
  <c r="H28" i="15" s="1"/>
  <c r="E28" i="15"/>
  <c r="C28" i="15"/>
  <c r="D28" i="15" s="1"/>
  <c r="L27" i="15"/>
  <c r="M27" i="15" s="1"/>
  <c r="F27" i="15"/>
  <c r="G27" i="15" s="1"/>
  <c r="H27" i="15" s="1"/>
  <c r="E27" i="15"/>
  <c r="C27" i="15"/>
  <c r="D27" i="15" s="1"/>
  <c r="L26" i="15"/>
  <c r="L33" i="15" s="1"/>
  <c r="F26" i="15"/>
  <c r="G26" i="15" s="1"/>
  <c r="H26" i="15" s="1"/>
  <c r="E26" i="15"/>
  <c r="C26" i="15"/>
  <c r="D26" i="15" s="1"/>
  <c r="K25" i="15"/>
  <c r="M25" i="15" s="1"/>
  <c r="F25" i="15"/>
  <c r="E25" i="15"/>
  <c r="G25" i="15" s="1"/>
  <c r="C25" i="15"/>
  <c r="D25" i="15" s="1"/>
  <c r="M24" i="15"/>
  <c r="K24" i="15"/>
  <c r="F24" i="15"/>
  <c r="E24" i="15"/>
  <c r="G24" i="15" s="1"/>
  <c r="D24" i="15"/>
  <c r="C24" i="15"/>
  <c r="K23" i="15"/>
  <c r="M23" i="15" s="1"/>
  <c r="F23" i="15"/>
  <c r="E23" i="15"/>
  <c r="G23" i="15" s="1"/>
  <c r="C23" i="15"/>
  <c r="D23" i="15" s="1"/>
  <c r="J22" i="15"/>
  <c r="M22" i="15" s="1"/>
  <c r="F22" i="15"/>
  <c r="E22" i="15"/>
  <c r="G22" i="15" s="1"/>
  <c r="D22" i="15"/>
  <c r="J21" i="15"/>
  <c r="M21" i="15" s="1"/>
  <c r="F21" i="15"/>
  <c r="E21" i="15"/>
  <c r="G21" i="15" s="1"/>
  <c r="D21" i="15"/>
  <c r="M20" i="15"/>
  <c r="J20" i="15"/>
  <c r="F20" i="15"/>
  <c r="G20" i="15" s="1"/>
  <c r="E20" i="15"/>
  <c r="D20" i="15"/>
  <c r="M19" i="15"/>
  <c r="K19" i="15"/>
  <c r="K33" i="15" s="1"/>
  <c r="F19" i="15"/>
  <c r="E19" i="15"/>
  <c r="E33" i="15" s="1"/>
  <c r="D19" i="15"/>
  <c r="C19" i="15"/>
  <c r="D12" i="15"/>
  <c r="D10" i="15"/>
  <c r="B66" i="14"/>
  <c r="B67" i="14" s="1"/>
  <c r="B68" i="14" s="1"/>
  <c r="B69" i="14" s="1"/>
  <c r="H65" i="14"/>
  <c r="B65" i="14"/>
  <c r="D40" i="14"/>
  <c r="D39" i="14"/>
  <c r="D38" i="14"/>
  <c r="D37" i="14"/>
  <c r="D36" i="14"/>
  <c r="D35" i="14"/>
  <c r="L33" i="14"/>
  <c r="K33" i="14"/>
  <c r="J33" i="14"/>
  <c r="I33" i="14"/>
  <c r="E33" i="14"/>
  <c r="B33" i="14"/>
  <c r="G32" i="14"/>
  <c r="F32" i="14"/>
  <c r="E32" i="14"/>
  <c r="D32" i="14"/>
  <c r="I31" i="14"/>
  <c r="G31" i="14"/>
  <c r="F31" i="14"/>
  <c r="E31" i="14"/>
  <c r="D31" i="14"/>
  <c r="C31" i="14"/>
  <c r="M30" i="14"/>
  <c r="K30" i="14"/>
  <c r="G30" i="14"/>
  <c r="F30" i="14"/>
  <c r="E30" i="14"/>
  <c r="D30" i="14"/>
  <c r="C30" i="14"/>
  <c r="M29" i="14"/>
  <c r="K29" i="14"/>
  <c r="G29" i="14"/>
  <c r="F29" i="14"/>
  <c r="E29" i="14"/>
  <c r="D29" i="14"/>
  <c r="C29" i="14"/>
  <c r="M28" i="14"/>
  <c r="L28" i="14"/>
  <c r="G28" i="14"/>
  <c r="H28" i="14" s="1"/>
  <c r="F28" i="14"/>
  <c r="E28" i="14"/>
  <c r="D28" i="14"/>
  <c r="C28" i="14"/>
  <c r="M27" i="14"/>
  <c r="L27" i="14"/>
  <c r="G27" i="14"/>
  <c r="H27" i="14" s="1"/>
  <c r="F27" i="14"/>
  <c r="E27" i="14"/>
  <c r="D27" i="14"/>
  <c r="C27" i="14"/>
  <c r="M26" i="14"/>
  <c r="L26" i="14"/>
  <c r="G26" i="14"/>
  <c r="H26" i="14" s="1"/>
  <c r="H33" i="14" s="1"/>
  <c r="B46" i="14" s="1"/>
  <c r="F26" i="14"/>
  <c r="E26" i="14"/>
  <c r="D26" i="14"/>
  <c r="C26" i="14"/>
  <c r="M25" i="14"/>
  <c r="K25" i="14"/>
  <c r="G25" i="14"/>
  <c r="F25" i="14"/>
  <c r="E25" i="14"/>
  <c r="D25" i="14"/>
  <c r="C25" i="14"/>
  <c r="M24" i="14"/>
  <c r="K24" i="14"/>
  <c r="G24" i="14"/>
  <c r="F24" i="14"/>
  <c r="E24" i="14"/>
  <c r="D24" i="14"/>
  <c r="C24" i="14"/>
  <c r="M23" i="14"/>
  <c r="K23" i="14"/>
  <c r="G23" i="14"/>
  <c r="F23" i="14"/>
  <c r="E23" i="14"/>
  <c r="D23" i="14"/>
  <c r="D33" i="14" s="1"/>
  <c r="B44" i="14" s="1"/>
  <c r="C23" i="14"/>
  <c r="M22" i="14"/>
  <c r="J22" i="14"/>
  <c r="G22" i="14"/>
  <c r="F22" i="14"/>
  <c r="E22" i="14"/>
  <c r="D22" i="14"/>
  <c r="M21" i="14"/>
  <c r="J21" i="14"/>
  <c r="G21" i="14"/>
  <c r="F21" i="14"/>
  <c r="E21" i="14"/>
  <c r="D21" i="14"/>
  <c r="M20" i="14"/>
  <c r="J20" i="14"/>
  <c r="G20" i="14"/>
  <c r="G33" i="14" s="1"/>
  <c r="B45" i="14" s="1"/>
  <c r="F20" i="14"/>
  <c r="E20" i="14"/>
  <c r="D20" i="14"/>
  <c r="M19" i="14"/>
  <c r="M33" i="14" s="1"/>
  <c r="K19" i="14"/>
  <c r="G19" i="14"/>
  <c r="F19" i="14"/>
  <c r="E19" i="14"/>
  <c r="D19" i="14"/>
  <c r="C19" i="14"/>
  <c r="D12" i="14"/>
  <c r="D10" i="14"/>
  <c r="B66" i="13"/>
  <c r="B67" i="13" s="1"/>
  <c r="B68" i="13" s="1"/>
  <c r="B69" i="13" s="1"/>
  <c r="B65" i="13"/>
  <c r="H65" i="13" s="1"/>
  <c r="D40" i="13"/>
  <c r="D39" i="13"/>
  <c r="D38" i="13"/>
  <c r="D37" i="13"/>
  <c r="D36" i="13"/>
  <c r="D35" i="13"/>
  <c r="B33" i="13"/>
  <c r="F32" i="13"/>
  <c r="G32" i="13" s="1"/>
  <c r="E32" i="13"/>
  <c r="D32" i="13"/>
  <c r="I31" i="13"/>
  <c r="I33" i="13" s="1"/>
  <c r="F31" i="13"/>
  <c r="E31" i="13"/>
  <c r="G31" i="13" s="1"/>
  <c r="C31" i="13"/>
  <c r="D31" i="13" s="1"/>
  <c r="K30" i="13"/>
  <c r="M30" i="13" s="1"/>
  <c r="G30" i="13"/>
  <c r="F30" i="13"/>
  <c r="E30" i="13"/>
  <c r="D30" i="13"/>
  <c r="C30" i="13"/>
  <c r="M29" i="13"/>
  <c r="K29" i="13"/>
  <c r="G29" i="13"/>
  <c r="F29" i="13"/>
  <c r="E29" i="13"/>
  <c r="C29" i="13"/>
  <c r="D29" i="13" s="1"/>
  <c r="L28" i="13"/>
  <c r="M28" i="13" s="1"/>
  <c r="G28" i="13"/>
  <c r="H28" i="13" s="1"/>
  <c r="F28" i="13"/>
  <c r="E28" i="13"/>
  <c r="C28" i="13"/>
  <c r="D28" i="13" s="1"/>
  <c r="L27" i="13"/>
  <c r="M27" i="13" s="1"/>
  <c r="G27" i="13"/>
  <c r="H27" i="13" s="1"/>
  <c r="F27" i="13"/>
  <c r="E27" i="13"/>
  <c r="C27" i="13"/>
  <c r="D27" i="13" s="1"/>
  <c r="L26" i="13"/>
  <c r="L33" i="13" s="1"/>
  <c r="G26" i="13"/>
  <c r="H26" i="13" s="1"/>
  <c r="F26" i="13"/>
  <c r="E26" i="13"/>
  <c r="C26" i="13"/>
  <c r="D26" i="13" s="1"/>
  <c r="K25" i="13"/>
  <c r="M25" i="13" s="1"/>
  <c r="F25" i="13"/>
  <c r="E25" i="13"/>
  <c r="G25" i="13" s="1"/>
  <c r="C25" i="13"/>
  <c r="D25" i="13" s="1"/>
  <c r="M24" i="13"/>
  <c r="K24" i="13"/>
  <c r="G24" i="13"/>
  <c r="F24" i="13"/>
  <c r="E24" i="13"/>
  <c r="D24" i="13"/>
  <c r="C24" i="13"/>
  <c r="K23" i="13"/>
  <c r="M23" i="13" s="1"/>
  <c r="G23" i="13"/>
  <c r="F23" i="13"/>
  <c r="E23" i="13"/>
  <c r="D23" i="13"/>
  <c r="C23" i="13"/>
  <c r="J22" i="13"/>
  <c r="M22" i="13" s="1"/>
  <c r="F22" i="13"/>
  <c r="E22" i="13"/>
  <c r="G22" i="13" s="1"/>
  <c r="D22" i="13"/>
  <c r="J21" i="13"/>
  <c r="M21" i="13" s="1"/>
  <c r="F21" i="13"/>
  <c r="E21" i="13"/>
  <c r="G21" i="13" s="1"/>
  <c r="D21" i="13"/>
  <c r="M20" i="13"/>
  <c r="J20" i="13"/>
  <c r="J33" i="13" s="1"/>
  <c r="F20" i="13"/>
  <c r="G20" i="13" s="1"/>
  <c r="E20" i="13"/>
  <c r="D20" i="13"/>
  <c r="K19" i="13"/>
  <c r="M19" i="13" s="1"/>
  <c r="G19" i="13"/>
  <c r="F19" i="13"/>
  <c r="E19" i="13"/>
  <c r="E33" i="13" s="1"/>
  <c r="D19" i="13"/>
  <c r="C19" i="13"/>
  <c r="D12" i="13"/>
  <c r="D10" i="13"/>
  <c r="B66" i="12"/>
  <c r="B67" i="12" s="1"/>
  <c r="B68" i="12" s="1"/>
  <c r="B69" i="12" s="1"/>
  <c r="B65" i="12"/>
  <c r="H65" i="12" s="1"/>
  <c r="D40" i="12"/>
  <c r="D39" i="12"/>
  <c r="D38" i="12"/>
  <c r="D37" i="12"/>
  <c r="D36" i="12"/>
  <c r="D35" i="12"/>
  <c r="I33" i="12"/>
  <c r="B33" i="12"/>
  <c r="F32" i="12"/>
  <c r="E32" i="12"/>
  <c r="G32" i="12" s="1"/>
  <c r="D32" i="12"/>
  <c r="I31" i="12"/>
  <c r="F31" i="12"/>
  <c r="E31" i="12"/>
  <c r="G31" i="12" s="1"/>
  <c r="C31" i="12"/>
  <c r="D31" i="12" s="1"/>
  <c r="K30" i="12"/>
  <c r="M30" i="12" s="1"/>
  <c r="G30" i="12"/>
  <c r="F30" i="12"/>
  <c r="E30" i="12"/>
  <c r="C30" i="12"/>
  <c r="D30" i="12" s="1"/>
  <c r="K29" i="12"/>
  <c r="M29" i="12" s="1"/>
  <c r="G29" i="12"/>
  <c r="F29" i="12"/>
  <c r="E29" i="12"/>
  <c r="C29" i="12"/>
  <c r="D29" i="12" s="1"/>
  <c r="L28" i="12"/>
  <c r="M28" i="12" s="1"/>
  <c r="G28" i="12"/>
  <c r="H28" i="12" s="1"/>
  <c r="F28" i="12"/>
  <c r="E28" i="12"/>
  <c r="C28" i="12"/>
  <c r="D28" i="12" s="1"/>
  <c r="L27" i="12"/>
  <c r="M27" i="12" s="1"/>
  <c r="G27" i="12"/>
  <c r="H27" i="12" s="1"/>
  <c r="F27" i="12"/>
  <c r="E27" i="12"/>
  <c r="C27" i="12"/>
  <c r="D27" i="12" s="1"/>
  <c r="L26" i="12"/>
  <c r="L33" i="12" s="1"/>
  <c r="G26" i="12"/>
  <c r="H26" i="12" s="1"/>
  <c r="H33" i="12" s="1"/>
  <c r="B46" i="12" s="1"/>
  <c r="F26" i="12"/>
  <c r="E26" i="12"/>
  <c r="C26" i="12"/>
  <c r="D26" i="12" s="1"/>
  <c r="K25" i="12"/>
  <c r="M25" i="12" s="1"/>
  <c r="F25" i="12"/>
  <c r="G25" i="12" s="1"/>
  <c r="E25" i="12"/>
  <c r="C25" i="12"/>
  <c r="D25" i="12" s="1"/>
  <c r="K24" i="12"/>
  <c r="M24" i="12" s="1"/>
  <c r="F24" i="12"/>
  <c r="E24" i="12"/>
  <c r="G24" i="12" s="1"/>
  <c r="D24" i="12"/>
  <c r="C24" i="12"/>
  <c r="K23" i="12"/>
  <c r="M23" i="12" s="1"/>
  <c r="F23" i="12"/>
  <c r="E23" i="12"/>
  <c r="G23" i="12" s="1"/>
  <c r="D23" i="12"/>
  <c r="C23" i="12"/>
  <c r="J22" i="12"/>
  <c r="M22" i="12" s="1"/>
  <c r="F22" i="12"/>
  <c r="E22" i="12"/>
  <c r="G22" i="12" s="1"/>
  <c r="D22" i="12"/>
  <c r="M21" i="12"/>
  <c r="J21" i="12"/>
  <c r="F21" i="12"/>
  <c r="E21" i="12"/>
  <c r="G21" i="12" s="1"/>
  <c r="D21" i="12"/>
  <c r="J20" i="12"/>
  <c r="J33" i="12" s="1"/>
  <c r="G20" i="12"/>
  <c r="F20" i="12"/>
  <c r="E20" i="12"/>
  <c r="D20" i="12"/>
  <c r="K19" i="12"/>
  <c r="M19" i="12" s="1"/>
  <c r="F19" i="12"/>
  <c r="E19" i="12"/>
  <c r="G19" i="12" s="1"/>
  <c r="D19" i="12"/>
  <c r="C19" i="12"/>
  <c r="D12" i="12"/>
  <c r="D10" i="12"/>
  <c r="H66" i="18" l="1"/>
  <c r="H66" i="16"/>
  <c r="H66" i="14"/>
  <c r="H66" i="13"/>
  <c r="H33" i="18"/>
  <c r="B46" i="18" s="1"/>
  <c r="D33" i="18"/>
  <c r="B44" i="18" s="1"/>
  <c r="G33" i="18"/>
  <c r="M26" i="18"/>
  <c r="M33" i="18" s="1"/>
  <c r="E33" i="18"/>
  <c r="D33" i="17"/>
  <c r="B44" i="17" s="1"/>
  <c r="H33" i="17"/>
  <c r="B46" i="17" s="1"/>
  <c r="M19" i="17"/>
  <c r="M33" i="17" s="1"/>
  <c r="L33" i="17"/>
  <c r="G20" i="17"/>
  <c r="G33" i="17" s="1"/>
  <c r="B45" i="17" s="1"/>
  <c r="D33" i="16"/>
  <c r="B44" i="16" s="1"/>
  <c r="G33" i="16"/>
  <c r="B45" i="16" s="1"/>
  <c r="M33" i="16"/>
  <c r="M26" i="16"/>
  <c r="K33" i="16"/>
  <c r="D33" i="15"/>
  <c r="B44" i="15" s="1"/>
  <c r="H33" i="15"/>
  <c r="B46" i="15" s="1"/>
  <c r="G19" i="15"/>
  <c r="G33" i="15" s="1"/>
  <c r="B45" i="15" s="1"/>
  <c r="M26" i="15"/>
  <c r="M33" i="15" s="1"/>
  <c r="J33" i="15"/>
  <c r="B47" i="14"/>
  <c r="D73" i="14"/>
  <c r="D34" i="14"/>
  <c r="D14" i="14"/>
  <c r="M11" i="14"/>
  <c r="D75" i="14"/>
  <c r="D33" i="13"/>
  <c r="B44" i="13" s="1"/>
  <c r="G33" i="13"/>
  <c r="H33" i="13"/>
  <c r="B46" i="13" s="1"/>
  <c r="M26" i="13"/>
  <c r="M33" i="13" s="1"/>
  <c r="K33" i="13"/>
  <c r="D33" i="12"/>
  <c r="B44" i="12" s="1"/>
  <c r="G33" i="12"/>
  <c r="B45" i="12" s="1"/>
  <c r="M20" i="12"/>
  <c r="M33" i="12" s="1"/>
  <c r="H66" i="12"/>
  <c r="K33" i="12"/>
  <c r="M26" i="12"/>
  <c r="E33" i="12"/>
  <c r="C11" i="11"/>
  <c r="D9" i="10"/>
  <c r="D37" i="2"/>
  <c r="D75" i="18" l="1"/>
  <c r="D73" i="18"/>
  <c r="M11" i="18"/>
  <c r="D34" i="18"/>
  <c r="D14" i="18"/>
  <c r="B45" i="18"/>
  <c r="B47" i="18" s="1"/>
  <c r="B47" i="17"/>
  <c r="D75" i="17"/>
  <c r="M11" i="17"/>
  <c r="D73" i="17"/>
  <c r="D34" i="17"/>
  <c r="D14" i="17"/>
  <c r="D75" i="16"/>
  <c r="D73" i="16"/>
  <c r="D34" i="16"/>
  <c r="D14" i="16"/>
  <c r="M11" i="16"/>
  <c r="B47" i="16"/>
  <c r="D75" i="15"/>
  <c r="D73" i="15"/>
  <c r="D34" i="15"/>
  <c r="D14" i="15"/>
  <c r="M11" i="15"/>
  <c r="B47" i="15"/>
  <c r="D74" i="14"/>
  <c r="G54" i="14"/>
  <c r="G52" i="14" s="1"/>
  <c r="G53" i="14" s="1"/>
  <c r="C61" i="14"/>
  <c r="C59" i="14" s="1"/>
  <c r="C60" i="14" s="1"/>
  <c r="F54" i="14"/>
  <c r="F52" i="14" s="1"/>
  <c r="F53" i="14" s="1"/>
  <c r="D72" i="14"/>
  <c r="J61" i="14"/>
  <c r="J59" i="14" s="1"/>
  <c r="J60" i="14" s="1"/>
  <c r="B61" i="14"/>
  <c r="B59" i="14" s="1"/>
  <c r="B60" i="14" s="1"/>
  <c r="E54" i="14"/>
  <c r="E52" i="14" s="1"/>
  <c r="E53" i="14" s="1"/>
  <c r="H61" i="14"/>
  <c r="H59" i="14" s="1"/>
  <c r="H60" i="14" s="1"/>
  <c r="C54" i="14"/>
  <c r="C52" i="14" s="1"/>
  <c r="C53" i="14" s="1"/>
  <c r="D13" i="14"/>
  <c r="M10" i="14"/>
  <c r="E39" i="11" s="1"/>
  <c r="I61" i="14"/>
  <c r="I59" i="14" s="1"/>
  <c r="I60" i="14" s="1"/>
  <c r="D54" i="14"/>
  <c r="D52" i="14" s="1"/>
  <c r="D53" i="14" s="1"/>
  <c r="D61" i="14"/>
  <c r="D59" i="14" s="1"/>
  <c r="D60" i="14" s="1"/>
  <c r="G61" i="14"/>
  <c r="G59" i="14" s="1"/>
  <c r="G60" i="14" s="1"/>
  <c r="J54" i="14"/>
  <c r="J52" i="14" s="1"/>
  <c r="J53" i="14" s="1"/>
  <c r="B54" i="14"/>
  <c r="B52" i="14" s="1"/>
  <c r="B53" i="14" s="1"/>
  <c r="F61" i="14"/>
  <c r="F59" i="14" s="1"/>
  <c r="F60" i="14" s="1"/>
  <c r="I54" i="14"/>
  <c r="I52" i="14" s="1"/>
  <c r="I53" i="14" s="1"/>
  <c r="E61" i="14"/>
  <c r="E59" i="14" s="1"/>
  <c r="E60" i="14" s="1"/>
  <c r="H54" i="14"/>
  <c r="H52" i="14" s="1"/>
  <c r="H53" i="14" s="1"/>
  <c r="D75" i="13"/>
  <c r="D73" i="13"/>
  <c r="D34" i="13"/>
  <c r="D14" i="13"/>
  <c r="M11" i="13"/>
  <c r="B45" i="13"/>
  <c r="B47" i="13"/>
  <c r="D75" i="12"/>
  <c r="D73" i="12"/>
  <c r="D34" i="12"/>
  <c r="D14" i="12"/>
  <c r="M11" i="12"/>
  <c r="B47" i="12"/>
  <c r="E31" i="2"/>
  <c r="E61" i="18" l="1"/>
  <c r="E59" i="18" s="1"/>
  <c r="E60" i="18" s="1"/>
  <c r="H54" i="18"/>
  <c r="H52" i="18" s="1"/>
  <c r="H53" i="18" s="1"/>
  <c r="M10" i="18"/>
  <c r="E43" i="11" s="1"/>
  <c r="D74" i="18"/>
  <c r="D61" i="18"/>
  <c r="D59" i="18" s="1"/>
  <c r="D60" i="18" s="1"/>
  <c r="G54" i="18"/>
  <c r="G52" i="18" s="1"/>
  <c r="G53" i="18" s="1"/>
  <c r="C61" i="18"/>
  <c r="C59" i="18" s="1"/>
  <c r="C60" i="18" s="1"/>
  <c r="F54" i="18"/>
  <c r="F52" i="18" s="1"/>
  <c r="F53" i="18" s="1"/>
  <c r="F61" i="18"/>
  <c r="F59" i="18" s="1"/>
  <c r="F60" i="18" s="1"/>
  <c r="D72" i="18"/>
  <c r="J61" i="18"/>
  <c r="J59" i="18" s="1"/>
  <c r="J60" i="18" s="1"/>
  <c r="B61" i="18"/>
  <c r="B59" i="18" s="1"/>
  <c r="B60" i="18" s="1"/>
  <c r="E54" i="18"/>
  <c r="E52" i="18" s="1"/>
  <c r="E53" i="18" s="1"/>
  <c r="I61" i="18"/>
  <c r="I59" i="18" s="1"/>
  <c r="I60" i="18" s="1"/>
  <c r="D54" i="18"/>
  <c r="D52" i="18" s="1"/>
  <c r="D53" i="18" s="1"/>
  <c r="H61" i="18"/>
  <c r="H59" i="18" s="1"/>
  <c r="H60" i="18" s="1"/>
  <c r="C54" i="18"/>
  <c r="C52" i="18" s="1"/>
  <c r="C53" i="18" s="1"/>
  <c r="D13" i="18"/>
  <c r="I54" i="18"/>
  <c r="I52" i="18" s="1"/>
  <c r="I53" i="18" s="1"/>
  <c r="G61" i="18"/>
  <c r="G59" i="18" s="1"/>
  <c r="G60" i="18" s="1"/>
  <c r="J54" i="18"/>
  <c r="J52" i="18" s="1"/>
  <c r="J53" i="18" s="1"/>
  <c r="B54" i="18"/>
  <c r="B52" i="18" s="1"/>
  <c r="B53" i="18" s="1"/>
  <c r="E61" i="17"/>
  <c r="E59" i="17" s="1"/>
  <c r="E60" i="17" s="1"/>
  <c r="H54" i="17"/>
  <c r="H52" i="17" s="1"/>
  <c r="H53" i="17" s="1"/>
  <c r="M10" i="17"/>
  <c r="E42" i="11" s="1"/>
  <c r="B61" i="17"/>
  <c r="B59" i="17" s="1"/>
  <c r="B60" i="17" s="1"/>
  <c r="F61" i="17"/>
  <c r="F59" i="17" s="1"/>
  <c r="F60" i="17" s="1"/>
  <c r="D74" i="17"/>
  <c r="D61" i="17"/>
  <c r="D59" i="17" s="1"/>
  <c r="D60" i="17" s="1"/>
  <c r="G54" i="17"/>
  <c r="G52" i="17" s="1"/>
  <c r="G53" i="17" s="1"/>
  <c r="J61" i="17"/>
  <c r="J59" i="17" s="1"/>
  <c r="J60" i="17" s="1"/>
  <c r="C61" i="17"/>
  <c r="C59" i="17" s="1"/>
  <c r="C60" i="17" s="1"/>
  <c r="F54" i="17"/>
  <c r="F52" i="17" s="1"/>
  <c r="F53" i="17" s="1"/>
  <c r="D72" i="17"/>
  <c r="E54" i="17"/>
  <c r="E52" i="17" s="1"/>
  <c r="E53" i="17" s="1"/>
  <c r="I61" i="17"/>
  <c r="I59" i="17" s="1"/>
  <c r="I60" i="17" s="1"/>
  <c r="D54" i="17"/>
  <c r="D52" i="17" s="1"/>
  <c r="D53" i="17" s="1"/>
  <c r="G61" i="17"/>
  <c r="G59" i="17" s="1"/>
  <c r="G60" i="17" s="1"/>
  <c r="J54" i="17"/>
  <c r="J52" i="17" s="1"/>
  <c r="J53" i="17" s="1"/>
  <c r="B54" i="17"/>
  <c r="B52" i="17" s="1"/>
  <c r="B53" i="17" s="1"/>
  <c r="H61" i="17"/>
  <c r="H59" i="17" s="1"/>
  <c r="H60" i="17" s="1"/>
  <c r="C54" i="17"/>
  <c r="C52" i="17" s="1"/>
  <c r="C53" i="17" s="1"/>
  <c r="D13" i="17"/>
  <c r="I54" i="17"/>
  <c r="I52" i="17" s="1"/>
  <c r="I53" i="17" s="1"/>
  <c r="E61" i="16"/>
  <c r="E59" i="16" s="1"/>
  <c r="E60" i="16" s="1"/>
  <c r="H54" i="16"/>
  <c r="H52" i="16" s="1"/>
  <c r="H53" i="16" s="1"/>
  <c r="M10" i="16"/>
  <c r="E41" i="11" s="1"/>
  <c r="D74" i="16"/>
  <c r="D61" i="16"/>
  <c r="D59" i="16" s="1"/>
  <c r="D60" i="16" s="1"/>
  <c r="G54" i="16"/>
  <c r="G52" i="16" s="1"/>
  <c r="G53" i="16" s="1"/>
  <c r="C61" i="16"/>
  <c r="C59" i="16" s="1"/>
  <c r="C60" i="16" s="1"/>
  <c r="F54" i="16"/>
  <c r="F52" i="16" s="1"/>
  <c r="F53" i="16" s="1"/>
  <c r="D72" i="16"/>
  <c r="J61" i="16"/>
  <c r="J59" i="16" s="1"/>
  <c r="J60" i="16" s="1"/>
  <c r="B61" i="16"/>
  <c r="B59" i="16" s="1"/>
  <c r="B60" i="16" s="1"/>
  <c r="E54" i="16"/>
  <c r="E52" i="16" s="1"/>
  <c r="E53" i="16" s="1"/>
  <c r="I54" i="16"/>
  <c r="I52" i="16" s="1"/>
  <c r="I53" i="16" s="1"/>
  <c r="I61" i="16"/>
  <c r="I59" i="16" s="1"/>
  <c r="I60" i="16" s="1"/>
  <c r="D54" i="16"/>
  <c r="D52" i="16" s="1"/>
  <c r="D53" i="16" s="1"/>
  <c r="F61" i="16"/>
  <c r="F59" i="16" s="1"/>
  <c r="F60" i="16" s="1"/>
  <c r="H61" i="16"/>
  <c r="H59" i="16" s="1"/>
  <c r="H60" i="16" s="1"/>
  <c r="C54" i="16"/>
  <c r="C52" i="16" s="1"/>
  <c r="C53" i="16" s="1"/>
  <c r="D13" i="16"/>
  <c r="G61" i="16"/>
  <c r="G59" i="16" s="1"/>
  <c r="G60" i="16" s="1"/>
  <c r="J54" i="16"/>
  <c r="J52" i="16" s="1"/>
  <c r="J53" i="16" s="1"/>
  <c r="B54" i="16"/>
  <c r="B52" i="16" s="1"/>
  <c r="B53" i="16" s="1"/>
  <c r="E61" i="15"/>
  <c r="E59" i="15" s="1"/>
  <c r="E60" i="15" s="1"/>
  <c r="H54" i="15"/>
  <c r="H52" i="15" s="1"/>
  <c r="H53" i="15" s="1"/>
  <c r="M10" i="15"/>
  <c r="E40" i="11" s="1"/>
  <c r="D74" i="15"/>
  <c r="D61" i="15"/>
  <c r="D59" i="15" s="1"/>
  <c r="D60" i="15" s="1"/>
  <c r="G54" i="15"/>
  <c r="G52" i="15" s="1"/>
  <c r="G53" i="15" s="1"/>
  <c r="C61" i="15"/>
  <c r="C59" i="15" s="1"/>
  <c r="C60" i="15" s="1"/>
  <c r="F54" i="15"/>
  <c r="F52" i="15" s="1"/>
  <c r="F53" i="15" s="1"/>
  <c r="D72" i="15"/>
  <c r="J61" i="15"/>
  <c r="J59" i="15" s="1"/>
  <c r="J60" i="15" s="1"/>
  <c r="B61" i="15"/>
  <c r="B59" i="15" s="1"/>
  <c r="B60" i="15" s="1"/>
  <c r="E54" i="15"/>
  <c r="E52" i="15" s="1"/>
  <c r="E53" i="15" s="1"/>
  <c r="I61" i="15"/>
  <c r="I59" i="15" s="1"/>
  <c r="I60" i="15" s="1"/>
  <c r="D54" i="15"/>
  <c r="D52" i="15" s="1"/>
  <c r="D53" i="15" s="1"/>
  <c r="H61" i="15"/>
  <c r="H59" i="15" s="1"/>
  <c r="H60" i="15" s="1"/>
  <c r="C54" i="15"/>
  <c r="C52" i="15" s="1"/>
  <c r="C53" i="15" s="1"/>
  <c r="D13" i="15"/>
  <c r="G61" i="15"/>
  <c r="G59" i="15" s="1"/>
  <c r="G60" i="15" s="1"/>
  <c r="J54" i="15"/>
  <c r="J52" i="15" s="1"/>
  <c r="J53" i="15" s="1"/>
  <c r="B54" i="15"/>
  <c r="B52" i="15" s="1"/>
  <c r="B53" i="15" s="1"/>
  <c r="F61" i="15"/>
  <c r="F59" i="15" s="1"/>
  <c r="F60" i="15" s="1"/>
  <c r="I54" i="15"/>
  <c r="I52" i="15" s="1"/>
  <c r="I53" i="15" s="1"/>
  <c r="E61" i="13"/>
  <c r="E59" i="13" s="1"/>
  <c r="E60" i="13" s="1"/>
  <c r="H54" i="13"/>
  <c r="H52" i="13" s="1"/>
  <c r="H53" i="13" s="1"/>
  <c r="M10" i="13"/>
  <c r="E38" i="11" s="1"/>
  <c r="H61" i="13"/>
  <c r="H59" i="13" s="1"/>
  <c r="H60" i="13" s="1"/>
  <c r="D13" i="13"/>
  <c r="D74" i="13"/>
  <c r="D61" i="13"/>
  <c r="D59" i="13" s="1"/>
  <c r="D60" i="13" s="1"/>
  <c r="G54" i="13"/>
  <c r="G52" i="13" s="1"/>
  <c r="G53" i="13" s="1"/>
  <c r="C61" i="13"/>
  <c r="C59" i="13" s="1"/>
  <c r="C60" i="13" s="1"/>
  <c r="F54" i="13"/>
  <c r="F52" i="13" s="1"/>
  <c r="F53" i="13" s="1"/>
  <c r="D72" i="13"/>
  <c r="J61" i="13"/>
  <c r="J59" i="13" s="1"/>
  <c r="J60" i="13" s="1"/>
  <c r="B61" i="13"/>
  <c r="B59" i="13" s="1"/>
  <c r="B60" i="13" s="1"/>
  <c r="E54" i="13"/>
  <c r="E52" i="13" s="1"/>
  <c r="E53" i="13" s="1"/>
  <c r="I61" i="13"/>
  <c r="I59" i="13" s="1"/>
  <c r="I60" i="13" s="1"/>
  <c r="D54" i="13"/>
  <c r="D52" i="13" s="1"/>
  <c r="D53" i="13" s="1"/>
  <c r="C54" i="13"/>
  <c r="C52" i="13" s="1"/>
  <c r="C53" i="13" s="1"/>
  <c r="G61" i="13"/>
  <c r="G59" i="13" s="1"/>
  <c r="G60" i="13" s="1"/>
  <c r="J54" i="13"/>
  <c r="J52" i="13" s="1"/>
  <c r="J53" i="13" s="1"/>
  <c r="B54" i="13"/>
  <c r="B52" i="13" s="1"/>
  <c r="B53" i="13" s="1"/>
  <c r="F61" i="13"/>
  <c r="F59" i="13" s="1"/>
  <c r="F60" i="13" s="1"/>
  <c r="I54" i="13"/>
  <c r="I52" i="13" s="1"/>
  <c r="I53" i="13" s="1"/>
  <c r="E61" i="12"/>
  <c r="E59" i="12" s="1"/>
  <c r="E60" i="12" s="1"/>
  <c r="H54" i="12"/>
  <c r="H52" i="12" s="1"/>
  <c r="H53" i="12" s="1"/>
  <c r="D74" i="12"/>
  <c r="D61" i="12"/>
  <c r="D59" i="12" s="1"/>
  <c r="D60" i="12" s="1"/>
  <c r="G54" i="12"/>
  <c r="G52" i="12" s="1"/>
  <c r="G53" i="12" s="1"/>
  <c r="C61" i="12"/>
  <c r="C59" i="12" s="1"/>
  <c r="C60" i="12" s="1"/>
  <c r="F54" i="12"/>
  <c r="F52" i="12" s="1"/>
  <c r="F53" i="12" s="1"/>
  <c r="D72" i="12"/>
  <c r="J61" i="12"/>
  <c r="J59" i="12" s="1"/>
  <c r="J60" i="12" s="1"/>
  <c r="B61" i="12"/>
  <c r="B59" i="12" s="1"/>
  <c r="B60" i="12" s="1"/>
  <c r="E54" i="12"/>
  <c r="E52" i="12" s="1"/>
  <c r="E53" i="12" s="1"/>
  <c r="D13" i="12"/>
  <c r="I61" i="12"/>
  <c r="I59" i="12" s="1"/>
  <c r="I60" i="12" s="1"/>
  <c r="D54" i="12"/>
  <c r="D52" i="12" s="1"/>
  <c r="D53" i="12" s="1"/>
  <c r="H61" i="12"/>
  <c r="H59" i="12" s="1"/>
  <c r="H60" i="12" s="1"/>
  <c r="C54" i="12"/>
  <c r="C52" i="12" s="1"/>
  <c r="C53" i="12" s="1"/>
  <c r="G61" i="12"/>
  <c r="G59" i="12" s="1"/>
  <c r="G60" i="12" s="1"/>
  <c r="J54" i="12"/>
  <c r="J52" i="12" s="1"/>
  <c r="J53" i="12" s="1"/>
  <c r="B54" i="12"/>
  <c r="B52" i="12" s="1"/>
  <c r="B53" i="12" s="1"/>
  <c r="F61" i="12"/>
  <c r="F59" i="12" s="1"/>
  <c r="F60" i="12" s="1"/>
  <c r="I54" i="12"/>
  <c r="I52" i="12" s="1"/>
  <c r="I53" i="12" s="1"/>
  <c r="M10" i="12"/>
  <c r="E37" i="11" s="1"/>
  <c r="B33" i="2"/>
  <c r="D36" i="2" l="1"/>
  <c r="D35" i="2"/>
  <c r="I31" i="2" l="1"/>
  <c r="F32" i="2" l="1"/>
  <c r="F31" i="2"/>
  <c r="F30" i="2"/>
  <c r="F29" i="2"/>
  <c r="F28" i="2"/>
  <c r="F27" i="2"/>
  <c r="F26" i="2"/>
  <c r="F25" i="2"/>
  <c r="F24" i="2"/>
  <c r="F23" i="2"/>
  <c r="F22" i="2"/>
  <c r="F21" i="2"/>
  <c r="F20" i="2"/>
  <c r="F19" i="2"/>
  <c r="C31" i="2"/>
  <c r="C30" i="2"/>
  <c r="C29" i="2"/>
  <c r="C27" i="2"/>
  <c r="C26" i="2"/>
  <c r="C25" i="2"/>
  <c r="C24" i="2"/>
  <c r="C23" i="2"/>
  <c r="C19" i="2"/>
  <c r="C28" i="2"/>
  <c r="D40" i="2" l="1"/>
  <c r="D39" i="2"/>
  <c r="D38" i="2"/>
  <c r="D12" i="2"/>
  <c r="E20" i="2"/>
  <c r="E21" i="2"/>
  <c r="E22" i="2"/>
  <c r="E23" i="2"/>
  <c r="E24" i="2"/>
  <c r="E25" i="2"/>
  <c r="E26" i="2"/>
  <c r="E27" i="2"/>
  <c r="E28" i="2"/>
  <c r="G28" i="2" s="1"/>
  <c r="H28" i="2" s="1"/>
  <c r="E29" i="2"/>
  <c r="G29" i="2" s="1"/>
  <c r="E30" i="2"/>
  <c r="E32" i="2"/>
  <c r="K30" i="2"/>
  <c r="M30" i="2" s="1"/>
  <c r="K29" i="2"/>
  <c r="M29" i="2" s="1"/>
  <c r="E19" i="2"/>
  <c r="D29" i="2"/>
  <c r="L28" i="2"/>
  <c r="M28" i="2" s="1"/>
  <c r="D28" i="2"/>
  <c r="L27" i="2" l="1"/>
  <c r="K24" i="2"/>
  <c r="K25" i="2"/>
  <c r="J21" i="2"/>
  <c r="J22" i="2"/>
  <c r="G31" i="2"/>
  <c r="G32" i="2"/>
  <c r="D20" i="2"/>
  <c r="D21" i="2"/>
  <c r="D22" i="2"/>
  <c r="D23" i="2"/>
  <c r="D24" i="2"/>
  <c r="D25" i="2"/>
  <c r="D26" i="2"/>
  <c r="D27" i="2"/>
  <c r="D30" i="2"/>
  <c r="D31" i="2"/>
  <c r="D32" i="2"/>
  <c r="M25" i="2" l="1"/>
  <c r="L26" i="2"/>
  <c r="M26" i="2" s="1"/>
  <c r="M27" i="2"/>
  <c r="G25" i="2"/>
  <c r="M22" i="2"/>
  <c r="M21" i="2"/>
  <c r="K19" i="2"/>
  <c r="M19" i="2" s="1"/>
  <c r="M24" i="2"/>
  <c r="K23" i="2"/>
  <c r="M23" i="2" s="1"/>
  <c r="G26" i="2" l="1"/>
  <c r="G27" i="2"/>
  <c r="H27" i="2" s="1"/>
  <c r="H26" i="2" l="1"/>
  <c r="G30" i="2"/>
  <c r="G24" i="2" l="1"/>
  <c r="G23" i="2"/>
  <c r="G22" i="2"/>
  <c r="G21" i="2"/>
  <c r="G20" i="2"/>
  <c r="I33" i="2" s="1"/>
  <c r="D19" i="2" l="1"/>
  <c r="G19" i="2" l="1"/>
  <c r="B66" i="2" l="1"/>
  <c r="B65" i="2"/>
  <c r="H65" i="2" s="1"/>
  <c r="J20" i="2"/>
  <c r="M20" i="2" s="1"/>
  <c r="M33" i="2" s="1"/>
  <c r="D34" i="2" s="1"/>
  <c r="D75" i="2" l="1"/>
  <c r="B67" i="2"/>
  <c r="B68" i="2" s="1"/>
  <c r="B69" i="2" s="1"/>
  <c r="H66" i="2"/>
  <c r="L33" i="2"/>
  <c r="K33" i="2"/>
  <c r="D14" i="2" l="1"/>
  <c r="D73" i="2"/>
  <c r="M11" i="2"/>
  <c r="F36" i="11" s="1"/>
  <c r="E33" i="2" l="1"/>
  <c r="J33" i="2"/>
  <c r="G33" i="2" l="1"/>
  <c r="D36" i="11" s="1"/>
  <c r="D44" i="11" s="1"/>
  <c r="D23" i="11" s="1"/>
  <c r="D24" i="11" s="1"/>
  <c r="H33" i="2"/>
  <c r="D32" i="11" l="1"/>
  <c r="B45" i="2"/>
  <c r="B46" i="2"/>
  <c r="D33" i="2"/>
  <c r="C36" i="11" s="1"/>
  <c r="C44" i="11" s="1"/>
  <c r="C23" i="11" s="1"/>
  <c r="C24" i="11" l="1"/>
  <c r="E24" i="11" s="1"/>
  <c r="B44" i="2"/>
  <c r="D27" i="11" l="1"/>
  <c r="B27" i="11"/>
  <c r="C27" i="11"/>
  <c r="C32" i="11"/>
  <c r="E32" i="11" s="1"/>
  <c r="F32" i="11" s="1"/>
  <c r="C33" i="11" s="1"/>
  <c r="B47" i="2"/>
  <c r="E61" i="2" s="1"/>
  <c r="E59" i="2" s="1"/>
  <c r="E60" i="2" s="1"/>
  <c r="B33" i="11" l="1"/>
  <c r="B32" i="11"/>
  <c r="H61" i="2"/>
  <c r="H59" i="2" s="1"/>
  <c r="H60" i="2" s="1"/>
  <c r="G54" i="2"/>
  <c r="G52" i="2" s="1"/>
  <c r="G53" i="2" s="1"/>
  <c r="H54" i="2"/>
  <c r="H52" i="2" s="1"/>
  <c r="H53" i="2" s="1"/>
  <c r="J61" i="2"/>
  <c r="J59" i="2" s="1"/>
  <c r="J60" i="2" s="1"/>
  <c r="G61" i="2"/>
  <c r="G59" i="2" s="1"/>
  <c r="G60" i="2" s="1"/>
  <c r="I54" i="2"/>
  <c r="I52" i="2" s="1"/>
  <c r="I53" i="2" s="1"/>
  <c r="I61" i="2"/>
  <c r="I59" i="2" s="1"/>
  <c r="I60" i="2" s="1"/>
  <c r="J54" i="2"/>
  <c r="J52" i="2" s="1"/>
  <c r="J53" i="2" s="1"/>
  <c r="B61" i="2"/>
  <c r="B59" i="2" s="1"/>
  <c r="B60" i="2" s="1"/>
  <c r="F54" i="2"/>
  <c r="F52" i="2" s="1"/>
  <c r="F53" i="2" s="1"/>
  <c r="D61" i="2"/>
  <c r="D59" i="2" s="1"/>
  <c r="D60" i="2" s="1"/>
  <c r="D13" i="2"/>
  <c r="F61" i="2"/>
  <c r="F59" i="2" s="1"/>
  <c r="F60" i="2" s="1"/>
  <c r="C54" i="2"/>
  <c r="C52" i="2" s="1"/>
  <c r="C53" i="2" s="1"/>
  <c r="M10" i="2"/>
  <c r="E36" i="11" s="1"/>
  <c r="D72" i="2"/>
  <c r="B54" i="2"/>
  <c r="B52" i="2" s="1"/>
  <c r="B53" i="2" s="1"/>
  <c r="D54" i="2"/>
  <c r="D52" i="2" s="1"/>
  <c r="D53" i="2" s="1"/>
  <c r="C61" i="2"/>
  <c r="C59" i="2" s="1"/>
  <c r="C60" i="2" s="1"/>
  <c r="E54" i="2"/>
  <c r="E52" i="2" s="1"/>
  <c r="E53" i="2" s="1"/>
  <c r="D74" i="2"/>
</calcChain>
</file>

<file path=xl/sharedStrings.xml><?xml version="1.0" encoding="utf-8"?>
<sst xmlns="http://schemas.openxmlformats.org/spreadsheetml/2006/main" count="818" uniqueCount="125">
  <si>
    <t>SYSTEM CALCULATOR JADE BIRD JBE-P2L1 EXCEL TOOL</t>
  </si>
  <si>
    <t>LC 2023 22a</t>
  </si>
  <si>
    <t>Standby time</t>
  </si>
  <si>
    <t>Alarm time</t>
  </si>
  <si>
    <t>Time backup power supply</t>
  </si>
  <si>
    <t>Select standby and alarm time</t>
  </si>
  <si>
    <t>System Parameters</t>
  </si>
  <si>
    <t>I_Standby (A)</t>
  </si>
  <si>
    <t>I_Alarm (A)</t>
  </si>
  <si>
    <t>JBE-P2L1</t>
  </si>
  <si>
    <t>Select control panel from the list</t>
  </si>
  <si>
    <t>Panel Auxilliar System Parameters</t>
  </si>
  <si>
    <t>PCS</t>
  </si>
  <si>
    <t>Panel auxilliary 24V DC output 1</t>
  </si>
  <si>
    <t>Panel auxilliary 24V DC output 2</t>
  </si>
  <si>
    <t>JBE-P2L1-EXLP</t>
  </si>
  <si>
    <t>Fill the PCS field if panel has extension card (Yellow field)</t>
  </si>
  <si>
    <t>JBE-P2L2-2LP</t>
  </si>
  <si>
    <t>JBE-P2L2-IO</t>
  </si>
  <si>
    <t>JBE-P2L2-NET</t>
  </si>
  <si>
    <t>Loops Parameters Resume</t>
  </si>
  <si>
    <t>I_Total</t>
  </si>
  <si>
    <t>2 x 7 Ah</t>
  </si>
  <si>
    <t>2 x 12 Ah</t>
  </si>
  <si>
    <t>2 x 17 Ah</t>
  </si>
  <si>
    <t>Battery Time*</t>
  </si>
  <si>
    <t>*Battery time: Standby time + Alarm mode time</t>
  </si>
  <si>
    <t>Battery characteristics</t>
  </si>
  <si>
    <t>Voltaje (V)</t>
  </si>
  <si>
    <t>Capacity (Ah)</t>
  </si>
  <si>
    <t>YUASA NP12-12FR</t>
  </si>
  <si>
    <t>Select battery from the list</t>
  </si>
  <si>
    <t>Minimum battery needed</t>
  </si>
  <si>
    <t>Selected battery</t>
  </si>
  <si>
    <t>Loops Parameters</t>
  </si>
  <si>
    <t>Current</t>
  </si>
  <si>
    <t>Addresses</t>
  </si>
  <si>
    <t xml:space="preserve"> Loop 1</t>
  </si>
  <si>
    <t xml:space="preserve"> Loop 2</t>
  </si>
  <si>
    <t xml:space="preserve"> Loop 3</t>
  </si>
  <si>
    <t xml:space="preserve"> Loop 4</t>
  </si>
  <si>
    <t xml:space="preserve"> Loop 5</t>
  </si>
  <si>
    <t xml:space="preserve"> Loop 6</t>
  </si>
  <si>
    <t xml:space="preserve"> Loop 7</t>
  </si>
  <si>
    <t xml:space="preserve"> Loop 8</t>
  </si>
  <si>
    <t>This tool may be used as a design help for Jade Bird Fire Alarm International (Europe) S.L. We reserve the right not to be responsible for its accuracy, completeness or quality of the information provided, including any kind of information which could be incomplete or incorrect.</t>
  </si>
  <si>
    <t>HIDE</t>
  </si>
  <si>
    <t>Loop</t>
  </si>
  <si>
    <t>System Check</t>
  </si>
  <si>
    <t>Section of wire</t>
  </si>
  <si>
    <t>Lenght loop</t>
  </si>
  <si>
    <t>meters</t>
  </si>
  <si>
    <r>
      <t>Fill Cable Section in mm</t>
    </r>
    <r>
      <rPr>
        <b/>
        <vertAlign val="superscript"/>
        <sz val="10"/>
        <color rgb="FF008000"/>
        <rFont val="Arial"/>
        <family val="2"/>
      </rPr>
      <t>2</t>
    </r>
    <r>
      <rPr>
        <b/>
        <sz val="10"/>
        <color rgb="FF008000"/>
        <rFont val="Arial"/>
        <family val="2"/>
      </rPr>
      <t xml:space="preserve"> and the Line Distance in meters (Yelow field)</t>
    </r>
  </si>
  <si>
    <t>Fill the PCS field for the desired configuration (Yelow field)</t>
  </si>
  <si>
    <t>Devices Loop 1</t>
  </si>
  <si>
    <t>REF.</t>
  </si>
  <si>
    <t>PCS_alarm</t>
  </si>
  <si>
    <t>I_Sounders (A)</t>
  </si>
  <si>
    <t>ISO</t>
  </si>
  <si>
    <t>DET</t>
  </si>
  <si>
    <t>MOD</t>
  </si>
  <si>
    <t>SND</t>
  </si>
  <si>
    <t>ADR</t>
  </si>
  <si>
    <t>JBE-2100 - MCP</t>
  </si>
  <si>
    <t>JBE-2106 - HEAT DETECTOR</t>
  </si>
  <si>
    <t>JBE-2111 - SMOKE DETECTOR</t>
  </si>
  <si>
    <t>JBE-2115 - COMBO DETECTOR</t>
  </si>
  <si>
    <t>JBE-2120 - INPUT MODULE</t>
  </si>
  <si>
    <t>JBE-2125 - OUTPUT MODULE WITH FEEDBACK (Loop)</t>
  </si>
  <si>
    <t>JBE-2125 - OUTPUT MODULE WITH FEEDBACK (External Power Supply)</t>
  </si>
  <si>
    <t>JBE-2135 - SOUNDER (External Power Supply)</t>
  </si>
  <si>
    <t>JBE-2145 - SOUNDER - BEACON (VID) (External Power Supply)</t>
  </si>
  <si>
    <t>JBE-2235 - SOUNDER - BEACON (VID) (Loop)</t>
  </si>
  <si>
    <t>JBE-2200 - ZONE MODULE (Loop)</t>
  </si>
  <si>
    <t>JBE-2000 - ZONE MODULE (External Power Supply)</t>
  </si>
  <si>
    <t>JBE-2150 - ISOLATOR MODULE</t>
  </si>
  <si>
    <t>REMOTE INDICATOR</t>
  </si>
  <si>
    <t xml:space="preserve"> Total</t>
  </si>
  <si>
    <t>Loop Parameters</t>
  </si>
  <si>
    <t>Cu</t>
  </si>
  <si>
    <r>
      <t>Ω*mm</t>
    </r>
    <r>
      <rPr>
        <vertAlign val="superscript"/>
        <sz val="10"/>
        <rFont val="Arial"/>
        <family val="2"/>
      </rPr>
      <t>2</t>
    </r>
    <r>
      <rPr>
        <sz val="10"/>
        <rFont val="Arial"/>
        <family val="2"/>
      </rPr>
      <t>/m</t>
    </r>
  </si>
  <si>
    <t>I_Standby</t>
  </si>
  <si>
    <t>A</t>
  </si>
  <si>
    <t>I_Alarm</t>
  </si>
  <si>
    <t>I_Sounders</t>
  </si>
  <si>
    <t>V_Lin_Ring</t>
  </si>
  <si>
    <t>V</t>
  </si>
  <si>
    <t>Minimum Cable Section for common Lenghts</t>
  </si>
  <si>
    <t>Lenghts</t>
  </si>
  <si>
    <t>m</t>
  </si>
  <si>
    <t>R_Cable</t>
  </si>
  <si>
    <t>Ω</t>
  </si>
  <si>
    <t>R_eq_Ring</t>
  </si>
  <si>
    <t>S_min</t>
  </si>
  <si>
    <r>
      <t>mm</t>
    </r>
    <r>
      <rPr>
        <b/>
        <vertAlign val="superscript"/>
        <sz val="10"/>
        <rFont val="Arial"/>
        <family val="2"/>
      </rPr>
      <t>2</t>
    </r>
  </si>
  <si>
    <r>
      <t>Warning: The Minimum Cable Seccion in the Loop is 0,5 mm</t>
    </r>
    <r>
      <rPr>
        <b/>
        <vertAlign val="superscript"/>
        <sz val="10"/>
        <color rgb="FFFF6600"/>
        <rFont val="Arial"/>
        <family val="2"/>
      </rPr>
      <t>2</t>
    </r>
  </si>
  <si>
    <t>Maximum Cable Lenght for Standard Cable Section (IEC 60228)</t>
  </si>
  <si>
    <t>Section</t>
  </si>
  <si>
    <r>
      <t>mm</t>
    </r>
    <r>
      <rPr>
        <vertAlign val="superscript"/>
        <sz val="10"/>
        <rFont val="Arial"/>
        <family val="2"/>
      </rPr>
      <t>2</t>
    </r>
  </si>
  <si>
    <t>L_max</t>
  </si>
  <si>
    <t>Warning: The Maximum Cable Length in the Loop is 3.500 meters</t>
  </si>
  <si>
    <t>Maximum Current Calculation</t>
  </si>
  <si>
    <t>? S</t>
  </si>
  <si>
    <t>? L</t>
  </si>
  <si>
    <t>R_Cable_Sys</t>
  </si>
  <si>
    <t>R_eq_Ring_Sys</t>
  </si>
  <si>
    <t>I_max</t>
  </si>
  <si>
    <t>Section of wire (mm2)</t>
  </si>
  <si>
    <t>AWG</t>
  </si>
  <si>
    <t>Section of wire (AWG)</t>
  </si>
  <si>
    <t>Standby time (h)</t>
  </si>
  <si>
    <t>Alarm time (min)</t>
  </si>
  <si>
    <t>Fire Control Panel</t>
  </si>
  <si>
    <t>Extension card</t>
  </si>
  <si>
    <t>Voltaje
nominal (V)</t>
  </si>
  <si>
    <t>20-hr rate
Capacity (Ah)</t>
  </si>
  <si>
    <t>10-hr rate
Capacity (Ah)</t>
  </si>
  <si>
    <t>Terminal Type</t>
  </si>
  <si>
    <t>YUASA NP7-12L</t>
  </si>
  <si>
    <t>Faston 6.35</t>
  </si>
  <si>
    <t>YUASA NP7-12LFR</t>
  </si>
  <si>
    <t>YUASA NP12-12</t>
  </si>
  <si>
    <t>YUASA NP17-12I</t>
  </si>
  <si>
    <t>Threaded terminal M5 (F)</t>
  </si>
  <si>
    <t>YUASA NP17-12IFR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</si>
</sst>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64" formatCode="#,##0.00\ &quot;€&quot;"/>
    <numFmt numFmtId="165" formatCode="0.000000"/>
    <numFmt numFmtId="166" formatCode="0.000"/>
    <numFmt numFmtId="167" formatCode=";;;"/>
    <numFmt numFmtId="168" formatCode="0.0\ &quot;mm2&quot;"/>
    <numFmt numFmtId="169" formatCode="0\ &quot;AWG&quot;"/>
    <numFmt numFmtId="170" formatCode="#,##0_ ;[Red]\-#,##0\ "/>
    <numFmt numFmtId="171" formatCode="0.0\ &quot;h&quot;"/>
    <numFmt numFmtId="172" formatCode="0\ &quot;h&quot;"/>
    <numFmt numFmtId="173" formatCode="0\ &quot;min&quot;"/>
    <numFmt numFmtId="174" formatCode="#,##0.000_ ;[Red]\-#,##0.000\ "/>
    <numFmt numFmtId="175" formatCode="0.000\ &quot;A&quot;"/>
    <numFmt numFmtId="176" formatCode="0\ &quot;V&quot;"/>
    <numFmt numFmtId="177" formatCode="0.00\ &quot;h&quot;"/>
    <numFmt numFmtId="178" formatCode="#,##0\ &quot;m&quot;"/>
    <numFmt numFmtId="179" formatCode="0\ &quot;Ah&quot;"/>
  </numFmts>
  <fonts count="18" x14ac:knownFonts="1">
    <font>
      <sz val="10"/>
      <name val="Arial"/>
    </font>
    <font>
      <b/>
      <sz val="11"/>
      <color indexed="8"/>
      <name val="Calibri"/>
      <family val="2"/>
    </font>
    <font>
      <b/>
      <sz val="10"/>
      <name val="Arial"/>
      <family val="2"/>
    </font>
    <font>
      <i/>
      <sz val="10"/>
      <name val="Arial"/>
      <family val="2"/>
    </font>
    <font>
      <b/>
      <sz val="10"/>
      <color indexed="17"/>
      <name val="Arial"/>
      <family val="2"/>
    </font>
    <font>
      <sz val="10"/>
      <name val="Arial"/>
      <family val="2"/>
    </font>
    <font>
      <b/>
      <sz val="10"/>
      <color theme="0"/>
      <name val="Arial"/>
      <family val="2"/>
    </font>
    <font>
      <b/>
      <sz val="10"/>
      <color rgb="FFFF0000"/>
      <name val="Arial"/>
      <family val="2"/>
    </font>
    <font>
      <b/>
      <sz val="10"/>
      <color theme="4"/>
      <name val="Arial"/>
      <family val="2"/>
    </font>
    <font>
      <sz val="8"/>
      <name val="Arial"/>
      <family val="2"/>
    </font>
    <font>
      <b/>
      <sz val="10"/>
      <color rgb="FF008000"/>
      <name val="Arial"/>
      <family val="2"/>
    </font>
    <font>
      <b/>
      <sz val="10"/>
      <color indexed="10"/>
      <name val="Arial"/>
      <family val="2"/>
    </font>
    <font>
      <b/>
      <sz val="10"/>
      <color indexed="53"/>
      <name val="Arial"/>
      <family val="2"/>
    </font>
    <font>
      <b/>
      <sz val="10"/>
      <color rgb="FF0070C0"/>
      <name val="Arial"/>
      <family val="2"/>
    </font>
    <font>
      <b/>
      <vertAlign val="superscript"/>
      <sz val="10"/>
      <color rgb="FFFF6600"/>
      <name val="Arial"/>
      <family val="2"/>
    </font>
    <font>
      <b/>
      <vertAlign val="superscript"/>
      <sz val="10"/>
      <color rgb="FF008000"/>
      <name val="Arial"/>
      <family val="2"/>
    </font>
    <font>
      <vertAlign val="superscript"/>
      <sz val="10"/>
      <name val="Arial"/>
      <family val="2"/>
    </font>
    <font>
      <b/>
      <vertAlign val="superscript"/>
      <sz val="10"/>
      <name val="Arial"/>
      <family val="2"/>
    </font>
  </fonts>
  <fills count="8">
    <fill>
      <patternFill patternType="none"/>
    </fill>
    <fill>
      <patternFill patternType="gray125"/>
    </fill>
    <fill>
      <patternFill patternType="solid">
        <fgColor indexed="43"/>
        <bgColor indexed="64"/>
      </patternFill>
    </fill>
    <fill>
      <patternFill patternType="solid">
        <fgColor indexed="42"/>
        <bgColor indexed="64"/>
      </patternFill>
    </fill>
    <fill>
      <patternFill patternType="solid">
        <fgColor rgb="FFCCFFCC"/>
        <bgColor indexed="64"/>
      </patternFill>
    </fill>
    <fill>
      <patternFill patternType="solid">
        <fgColor rgb="FFFFC000"/>
        <bgColor indexed="64"/>
      </patternFill>
    </fill>
    <fill>
      <patternFill patternType="solid">
        <fgColor theme="0" tint="-4.9989318521683403E-2"/>
        <bgColor indexed="64"/>
      </patternFill>
    </fill>
    <fill>
      <patternFill patternType="solid">
        <fgColor rgb="FFFFFF99"/>
        <bgColor indexed="64"/>
      </patternFill>
    </fill>
  </fills>
  <borders count="38">
    <border>
      <left/>
      <right/>
      <top/>
      <bottom/>
      <diagonal/>
    </border>
    <border>
      <left/>
      <right/>
      <top/>
      <bottom style="medium">
        <color indexed="1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right style="thin">
        <color indexed="64"/>
      </right>
      <top style="medium">
        <color indexed="64"/>
      </top>
      <bottom style="medium">
        <color indexed="64"/>
      </bottom>
      <diagonal/>
    </border>
    <border>
      <left/>
      <right/>
      <top style="medium">
        <color indexed="64"/>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s>
  <cellStyleXfs count="1">
    <xf numFmtId="0" fontId="0" fillId="0" borderId="0"/>
  </cellStyleXfs>
  <cellXfs count="138">
    <xf numFmtId="0" fontId="0" fillId="0" borderId="0" xfId="0"/>
    <xf numFmtId="9" fontId="0" fillId="0" borderId="0" xfId="0" applyNumberFormat="1"/>
    <xf numFmtId="164" fontId="0" fillId="0" borderId="0" xfId="0" applyNumberFormat="1"/>
    <xf numFmtId="0" fontId="1" fillId="0" borderId="0" xfId="0" applyFont="1"/>
    <xf numFmtId="0" fontId="2" fillId="0" borderId="1" xfId="0" applyFont="1" applyBorder="1"/>
    <xf numFmtId="164" fontId="2" fillId="0" borderId="1" xfId="0" applyNumberFormat="1" applyFont="1" applyBorder="1"/>
    <xf numFmtId="9" fontId="2" fillId="0" borderId="1" xfId="0" applyNumberFormat="1" applyFont="1" applyBorder="1"/>
    <xf numFmtId="0" fontId="2" fillId="0" borderId="0" xfId="0" applyFont="1"/>
    <xf numFmtId="0" fontId="2" fillId="0" borderId="2" xfId="0" applyFont="1" applyBorder="1"/>
    <xf numFmtId="0" fontId="2" fillId="0" borderId="3" xfId="0" applyFont="1" applyBorder="1"/>
    <xf numFmtId="0" fontId="4" fillId="0" borderId="0" xfId="0" applyFont="1"/>
    <xf numFmtId="164" fontId="2" fillId="0" borderId="1" xfId="0" applyNumberFormat="1" applyFont="1" applyBorder="1" applyAlignment="1">
      <alignment horizontal="right"/>
    </xf>
    <xf numFmtId="0" fontId="5" fillId="0" borderId="0" xfId="0" applyFont="1"/>
    <xf numFmtId="0" fontId="2" fillId="0" borderId="11" xfId="0" applyFont="1" applyBorder="1"/>
    <xf numFmtId="165" fontId="0" fillId="0" borderId="6" xfId="0" applyNumberFormat="1" applyBorder="1"/>
    <xf numFmtId="0" fontId="5" fillId="0" borderId="5" xfId="0" applyFont="1" applyBorder="1"/>
    <xf numFmtId="0" fontId="5" fillId="0" borderId="8" xfId="0" applyFont="1" applyBorder="1"/>
    <xf numFmtId="0" fontId="7" fillId="0" borderId="0" xfId="0" applyFont="1"/>
    <xf numFmtId="0" fontId="5" fillId="0" borderId="10" xfId="0" applyFont="1" applyBorder="1"/>
    <xf numFmtId="9" fontId="2" fillId="0" borderId="0" xfId="0" applyNumberFormat="1" applyFont="1"/>
    <xf numFmtId="164" fontId="2" fillId="0" borderId="0" xfId="0" applyNumberFormat="1" applyFont="1"/>
    <xf numFmtId="164" fontId="2" fillId="0" borderId="0" xfId="0" applyNumberFormat="1" applyFont="1" applyAlignment="1">
      <alignment horizontal="right"/>
    </xf>
    <xf numFmtId="0" fontId="5" fillId="0" borderId="20" xfId="0" applyFont="1" applyBorder="1"/>
    <xf numFmtId="0" fontId="0" fillId="0" borderId="18" xfId="0" applyBorder="1"/>
    <xf numFmtId="0" fontId="0" fillId="0" borderId="17" xfId="0" applyBorder="1"/>
    <xf numFmtId="0" fontId="0" fillId="0" borderId="15" xfId="0" applyBorder="1"/>
    <xf numFmtId="0" fontId="5" fillId="0" borderId="6" xfId="0" applyFont="1" applyBorder="1"/>
    <xf numFmtId="0" fontId="0" fillId="0" borderId="6" xfId="0" applyBorder="1"/>
    <xf numFmtId="0" fontId="2" fillId="0" borderId="23" xfId="0" applyFont="1" applyBorder="1"/>
    <xf numFmtId="0" fontId="5" fillId="0" borderId="7" xfId="0" applyFont="1" applyBorder="1"/>
    <xf numFmtId="0" fontId="5" fillId="0" borderId="25" xfId="0" applyFont="1" applyBorder="1"/>
    <xf numFmtId="0" fontId="5" fillId="0" borderId="16" xfId="0" applyFont="1" applyBorder="1"/>
    <xf numFmtId="0" fontId="2" fillId="0" borderId="12" xfId="0" applyFont="1" applyBorder="1"/>
    <xf numFmtId="0" fontId="2" fillId="0" borderId="13" xfId="0" applyFont="1" applyBorder="1"/>
    <xf numFmtId="0" fontId="2" fillId="0" borderId="0" xfId="0" applyFont="1" applyProtection="1">
      <protection hidden="1"/>
    </xf>
    <xf numFmtId="165" fontId="2" fillId="0" borderId="0" xfId="0" applyNumberFormat="1" applyFont="1"/>
    <xf numFmtId="165" fontId="2" fillId="0" borderId="0" xfId="0" applyNumberFormat="1" applyFont="1" applyProtection="1">
      <protection hidden="1"/>
    </xf>
    <xf numFmtId="165" fontId="6" fillId="0" borderId="0" xfId="0" applyNumberFormat="1" applyFont="1" applyProtection="1">
      <protection hidden="1"/>
    </xf>
    <xf numFmtId="0" fontId="0" fillId="0" borderId="7" xfId="0" applyBorder="1"/>
    <xf numFmtId="0" fontId="0" fillId="0" borderId="9" xfId="0" applyBorder="1"/>
    <xf numFmtId="0" fontId="0" fillId="0" borderId="10" xfId="0" applyBorder="1"/>
    <xf numFmtId="0" fontId="0" fillId="0" borderId="12" xfId="0" applyBorder="1"/>
    <xf numFmtId="0" fontId="0" fillId="0" borderId="13" xfId="0" applyBorder="1"/>
    <xf numFmtId="164" fontId="2" fillId="0" borderId="4" xfId="0" applyNumberFormat="1" applyFont="1" applyBorder="1"/>
    <xf numFmtId="0" fontId="0" fillId="0" borderId="27" xfId="0" applyBorder="1"/>
    <xf numFmtId="166" fontId="0" fillId="0" borderId="15" xfId="0" applyNumberFormat="1" applyBorder="1"/>
    <xf numFmtId="0" fontId="2" fillId="0" borderId="22" xfId="0" applyFont="1" applyBorder="1" applyAlignment="1">
      <alignment horizontal="left"/>
    </xf>
    <xf numFmtId="0" fontId="2" fillId="0" borderId="21" xfId="0" applyFont="1" applyBorder="1" applyAlignment="1">
      <alignment horizontal="center"/>
    </xf>
    <xf numFmtId="0" fontId="0" fillId="0" borderId="3" xfId="0" applyBorder="1"/>
    <xf numFmtId="0" fontId="0" fillId="0" borderId="4" xfId="0" applyBorder="1"/>
    <xf numFmtId="0" fontId="10" fillId="0" borderId="0" xfId="0" applyFont="1"/>
    <xf numFmtId="0" fontId="11" fillId="0" borderId="0" xfId="0" applyFont="1"/>
    <xf numFmtId="0" fontId="12" fillId="0" borderId="0" xfId="0" applyFont="1"/>
    <xf numFmtId="0" fontId="5" fillId="0" borderId="28" xfId="0" applyFont="1" applyBorder="1"/>
    <xf numFmtId="0" fontId="0" fillId="0" borderId="29" xfId="0" applyBorder="1"/>
    <xf numFmtId="0" fontId="2" fillId="3" borderId="23" xfId="0" applyFont="1" applyFill="1" applyBorder="1" applyAlignment="1">
      <alignment horizontal="center"/>
    </xf>
    <xf numFmtId="0" fontId="2" fillId="3" borderId="24" xfId="0" applyFont="1" applyFill="1" applyBorder="1" applyAlignment="1">
      <alignment horizontal="center"/>
    </xf>
    <xf numFmtId="0" fontId="5" fillId="0" borderId="29" xfId="0" applyFont="1" applyBorder="1"/>
    <xf numFmtId="0" fontId="0" fillId="0" borderId="20" xfId="0" applyBorder="1"/>
    <xf numFmtId="0" fontId="5" fillId="0" borderId="30" xfId="0" applyFont="1" applyBorder="1"/>
    <xf numFmtId="0" fontId="0" fillId="0" borderId="30" xfId="0" applyBorder="1"/>
    <xf numFmtId="0" fontId="5" fillId="0" borderId="17" xfId="0" applyFont="1" applyBorder="1"/>
    <xf numFmtId="0" fontId="5" fillId="0" borderId="15" xfId="0" applyFont="1" applyBorder="1"/>
    <xf numFmtId="3" fontId="2" fillId="4" borderId="31" xfId="0" applyNumberFormat="1" applyFont="1" applyFill="1" applyBorder="1"/>
    <xf numFmtId="165" fontId="0" fillId="0" borderId="14" xfId="0" applyNumberFormat="1" applyBorder="1"/>
    <xf numFmtId="165" fontId="0" fillId="0" borderId="9" xfId="0" applyNumberFormat="1" applyBorder="1"/>
    <xf numFmtId="0" fontId="5" fillId="0" borderId="36" xfId="0" applyFont="1" applyBorder="1"/>
    <xf numFmtId="168" fontId="0" fillId="2" borderId="15" xfId="0" applyNumberFormat="1" applyFill="1" applyBorder="1" applyAlignment="1" applyProtection="1">
      <alignment horizontal="center" vertical="center"/>
      <protection locked="0"/>
    </xf>
    <xf numFmtId="0" fontId="5" fillId="5" borderId="0" xfId="0" applyFont="1" applyFill="1" applyAlignment="1">
      <alignment horizontal="center"/>
    </xf>
    <xf numFmtId="165" fontId="2" fillId="6" borderId="12" xfId="0" applyNumberFormat="1" applyFont="1" applyFill="1" applyBorder="1" applyProtection="1">
      <protection hidden="1"/>
    </xf>
    <xf numFmtId="165" fontId="2" fillId="6" borderId="12" xfId="0" applyNumberFormat="1" applyFont="1" applyFill="1" applyBorder="1"/>
    <xf numFmtId="0" fontId="13" fillId="0" borderId="0" xfId="0" applyFont="1"/>
    <xf numFmtId="165" fontId="0" fillId="6" borderId="15" xfId="0" applyNumberFormat="1" applyFill="1" applyBorder="1" applyProtection="1">
      <protection hidden="1"/>
    </xf>
    <xf numFmtId="0" fontId="0" fillId="6" borderId="6" xfId="0" applyFill="1" applyBorder="1"/>
    <xf numFmtId="166" fontId="0" fillId="6" borderId="6" xfId="0" applyNumberFormat="1" applyFill="1" applyBorder="1"/>
    <xf numFmtId="1" fontId="0" fillId="6" borderId="6" xfId="0" applyNumberFormat="1" applyFill="1" applyBorder="1"/>
    <xf numFmtId="0" fontId="0" fillId="6" borderId="15" xfId="0" applyFill="1" applyBorder="1"/>
    <xf numFmtId="164" fontId="2" fillId="0" borderId="2" xfId="0" applyNumberFormat="1" applyFont="1" applyBorder="1"/>
    <xf numFmtId="164" fontId="2" fillId="0" borderId="3" xfId="0" applyNumberFormat="1" applyFont="1" applyBorder="1"/>
    <xf numFmtId="170" fontId="0" fillId="0" borderId="15" xfId="0" applyNumberFormat="1" applyBorder="1"/>
    <xf numFmtId="170" fontId="0" fillId="0" borderId="20" xfId="0" applyNumberFormat="1" applyBorder="1"/>
    <xf numFmtId="169" fontId="0" fillId="6" borderId="23" xfId="0" applyNumberFormat="1" applyFill="1" applyBorder="1" applyAlignment="1">
      <alignment horizontal="center" vertical="center"/>
    </xf>
    <xf numFmtId="0" fontId="0" fillId="0" borderId="0" xfId="0" applyAlignment="1">
      <alignment horizontal="center" vertical="center"/>
    </xf>
    <xf numFmtId="0" fontId="0" fillId="6" borderId="15" xfId="0" applyFill="1" applyBorder="1" applyProtection="1">
      <protection hidden="1"/>
    </xf>
    <xf numFmtId="0" fontId="7" fillId="0" borderId="3" xfId="0" applyFont="1" applyBorder="1"/>
    <xf numFmtId="170" fontId="7" fillId="0" borderId="15" xfId="0" applyNumberFormat="1" applyFont="1" applyBorder="1"/>
    <xf numFmtId="0" fontId="7" fillId="0" borderId="15" xfId="0" applyFont="1" applyBorder="1"/>
    <xf numFmtId="170" fontId="2" fillId="0" borderId="21" xfId="0" applyNumberFormat="1" applyFont="1" applyBorder="1" applyAlignment="1">
      <alignment horizontal="center"/>
    </xf>
    <xf numFmtId="170" fontId="2" fillId="0" borderId="19" xfId="0" applyNumberFormat="1" applyFont="1" applyBorder="1" applyAlignment="1">
      <alignment horizontal="center"/>
    </xf>
    <xf numFmtId="170" fontId="0" fillId="6" borderId="6" xfId="0" applyNumberFormat="1" applyFill="1" applyBorder="1"/>
    <xf numFmtId="170" fontId="0" fillId="6" borderId="16" xfId="0" applyNumberFormat="1" applyFill="1" applyBorder="1"/>
    <xf numFmtId="170" fontId="0" fillId="0" borderId="6" xfId="0" applyNumberFormat="1" applyBorder="1"/>
    <xf numFmtId="170" fontId="0" fillId="0" borderId="7" xfId="0" applyNumberFormat="1" applyBorder="1"/>
    <xf numFmtId="170" fontId="0" fillId="0" borderId="17" xfId="0" applyNumberFormat="1" applyBorder="1"/>
    <xf numFmtId="170" fontId="4" fillId="0" borderId="17" xfId="0" applyNumberFormat="1" applyFont="1" applyBorder="1"/>
    <xf numFmtId="170" fontId="0" fillId="0" borderId="26" xfId="0" applyNumberFormat="1" applyBorder="1"/>
    <xf numFmtId="170" fontId="2" fillId="6" borderId="12" xfId="0" applyNumberFormat="1" applyFont="1" applyFill="1" applyBorder="1" applyProtection="1">
      <protection hidden="1"/>
    </xf>
    <xf numFmtId="170" fontId="2" fillId="6" borderId="13" xfId="0" applyNumberFormat="1" applyFont="1" applyFill="1" applyBorder="1" applyProtection="1">
      <protection hidden="1"/>
    </xf>
    <xf numFmtId="170" fontId="0" fillId="2" borderId="15" xfId="0" applyNumberFormat="1" applyFill="1" applyBorder="1" applyProtection="1">
      <protection locked="0"/>
    </xf>
    <xf numFmtId="170" fontId="0" fillId="6" borderId="9" xfId="0" applyNumberFormat="1" applyFill="1" applyBorder="1"/>
    <xf numFmtId="0" fontId="7" fillId="0" borderId="0" xfId="0" applyFont="1" applyAlignment="1">
      <alignment vertical="center" wrapText="1"/>
    </xf>
    <xf numFmtId="0" fontId="7" fillId="0" borderId="33" xfId="0" applyFont="1" applyBorder="1" applyAlignment="1">
      <alignment vertical="center" wrapText="1"/>
    </xf>
    <xf numFmtId="167" fontId="2" fillId="0" borderId="34" xfId="0" applyNumberFormat="1" applyFont="1" applyBorder="1"/>
    <xf numFmtId="167" fontId="2" fillId="0" borderId="27" xfId="0" applyNumberFormat="1" applyFont="1" applyBorder="1"/>
    <xf numFmtId="167" fontId="0" fillId="0" borderId="27" xfId="0" applyNumberFormat="1" applyBorder="1"/>
    <xf numFmtId="167" fontId="2" fillId="0" borderId="37" xfId="0" applyNumberFormat="1" applyFont="1" applyBorder="1"/>
    <xf numFmtId="167" fontId="2" fillId="0" borderId="32" xfId="0" applyNumberFormat="1" applyFont="1" applyBorder="1"/>
    <xf numFmtId="167" fontId="0" fillId="0" borderId="32" xfId="0" applyNumberFormat="1" applyBorder="1"/>
    <xf numFmtId="0" fontId="8" fillId="0" borderId="6" xfId="0" applyFont="1" applyBorder="1"/>
    <xf numFmtId="169" fontId="0" fillId="0" borderId="6" xfId="0" applyNumberFormat="1" applyBorder="1" applyAlignment="1">
      <alignment horizontal="center" vertical="center"/>
    </xf>
    <xf numFmtId="172" fontId="0" fillId="7" borderId="6" xfId="0" applyNumberFormat="1" applyFill="1" applyBorder="1" applyAlignment="1" applyProtection="1">
      <alignment horizontal="center" vertical="center"/>
      <protection locked="0"/>
    </xf>
    <xf numFmtId="173" fontId="0" fillId="7" borderId="6" xfId="0" applyNumberFormat="1" applyFill="1" applyBorder="1" applyAlignment="1" applyProtection="1">
      <alignment horizontal="center" vertical="center"/>
      <protection locked="0"/>
    </xf>
    <xf numFmtId="174" fontId="0" fillId="0" borderId="6" xfId="0" applyNumberFormat="1" applyBorder="1"/>
    <xf numFmtId="0" fontId="8" fillId="0" borderId="6" xfId="0" applyFont="1" applyBorder="1" applyAlignment="1">
      <alignment wrapText="1"/>
    </xf>
    <xf numFmtId="0" fontId="0" fillId="7" borderId="6" xfId="0" applyFill="1" applyBorder="1" applyAlignment="1" applyProtection="1">
      <alignment horizontal="left" vertical="center"/>
      <protection locked="0"/>
    </xf>
    <xf numFmtId="175" fontId="0" fillId="7" borderId="6" xfId="0" applyNumberFormat="1" applyFill="1" applyBorder="1" applyAlignment="1" applyProtection="1">
      <alignment horizontal="center" vertical="center"/>
      <protection locked="0"/>
    </xf>
    <xf numFmtId="168" fontId="0" fillId="7" borderId="6" xfId="0" applyNumberFormat="1" applyFill="1" applyBorder="1" applyAlignment="1" applyProtection="1">
      <alignment horizontal="center" vertical="center"/>
      <protection locked="0"/>
    </xf>
    <xf numFmtId="0" fontId="2" fillId="0" borderId="6" xfId="0" applyFont="1" applyBorder="1"/>
    <xf numFmtId="0" fontId="2" fillId="0" borderId="6" xfId="0" applyFont="1" applyBorder="1" applyAlignment="1">
      <alignment horizontal="center"/>
    </xf>
    <xf numFmtId="0" fontId="0" fillId="7" borderId="6" xfId="0" applyFill="1" applyBorder="1" applyAlignment="1">
      <alignment horizontal="left" vertical="center"/>
    </xf>
    <xf numFmtId="175" fontId="0" fillId="0" borderId="6" xfId="0" applyNumberFormat="1" applyBorder="1" applyAlignment="1">
      <alignment horizontal="center" vertical="center"/>
    </xf>
    <xf numFmtId="0" fontId="5" fillId="0" borderId="6" xfId="0" applyFont="1" applyBorder="1" applyAlignment="1">
      <alignment horizontal="left" vertical="center"/>
    </xf>
    <xf numFmtId="175" fontId="2" fillId="0" borderId="6" xfId="0" applyNumberFormat="1" applyFont="1" applyBorder="1" applyAlignment="1">
      <alignment horizontal="center" vertical="center"/>
    </xf>
    <xf numFmtId="177" fontId="0" fillId="0" borderId="6" xfId="0" applyNumberFormat="1" applyBorder="1" applyAlignment="1">
      <alignment horizontal="center" vertical="center"/>
    </xf>
    <xf numFmtId="171" fontId="0" fillId="0" borderId="6" xfId="0" applyNumberFormat="1" applyBorder="1" applyAlignment="1">
      <alignment horizontal="center" vertical="center"/>
    </xf>
    <xf numFmtId="0" fontId="2" fillId="0" borderId="6" xfId="0" applyFont="1" applyBorder="1" applyAlignment="1">
      <alignment horizontal="center" wrapText="1"/>
    </xf>
    <xf numFmtId="176" fontId="0" fillId="0" borderId="6" xfId="0" applyNumberFormat="1" applyBorder="1" applyAlignment="1">
      <alignment horizontal="center" vertical="center"/>
    </xf>
    <xf numFmtId="0" fontId="5" fillId="7" borderId="6" xfId="0" applyFont="1" applyFill="1" applyBorder="1" applyAlignment="1" applyProtection="1">
      <alignment horizontal="center"/>
      <protection locked="0"/>
    </xf>
    <xf numFmtId="0" fontId="5" fillId="3" borderId="6" xfId="0" applyFont="1" applyFill="1" applyBorder="1" applyAlignment="1">
      <alignment horizontal="center"/>
    </xf>
    <xf numFmtId="167" fontId="0" fillId="0" borderId="0" xfId="0" applyNumberFormat="1"/>
    <xf numFmtId="178" fontId="0" fillId="2" borderId="9" xfId="0" applyNumberFormat="1" applyFill="1" applyBorder="1" applyAlignment="1" applyProtection="1">
      <alignment horizontal="center" vertical="center"/>
      <protection locked="0"/>
    </xf>
    <xf numFmtId="179" fontId="0" fillId="0" borderId="6" xfId="0" applyNumberFormat="1" applyBorder="1" applyAlignment="1">
      <alignment horizontal="center" vertical="center"/>
    </xf>
    <xf numFmtId="0" fontId="2" fillId="0" borderId="0" xfId="0" applyFont="1" applyAlignment="1">
      <alignment horizontal="center"/>
    </xf>
    <xf numFmtId="0" fontId="3" fillId="0" borderId="0" xfId="0" applyFont="1" applyAlignment="1">
      <alignment vertical="top" wrapText="1"/>
    </xf>
    <xf numFmtId="164" fontId="2" fillId="0" borderId="2" xfId="0" applyNumberFormat="1" applyFont="1" applyBorder="1" applyAlignment="1">
      <alignment horizontal="center"/>
    </xf>
    <xf numFmtId="164" fontId="2" fillId="0" borderId="4" xfId="0" applyNumberFormat="1" applyFont="1" applyBorder="1" applyAlignment="1">
      <alignment horizontal="center"/>
    </xf>
    <xf numFmtId="164" fontId="2" fillId="0" borderId="34" xfId="0" applyNumberFormat="1" applyFont="1" applyBorder="1" applyAlignment="1">
      <alignment horizontal="center"/>
    </xf>
    <xf numFmtId="164" fontId="2" fillId="0" borderId="35" xfId="0" applyNumberFormat="1" applyFont="1" applyBorder="1" applyAlignment="1">
      <alignment horizontal="center"/>
    </xf>
  </cellXfs>
  <cellStyles count="1">
    <cellStyle name="Normal" xfId="0" builtinId="0"/>
  </cellStyles>
  <dxfs count="151">
    <dxf>
      <font>
        <color rgb="FFFFFF00"/>
      </font>
      <fill>
        <patternFill>
          <bgColor rgb="FFFF0000"/>
        </patternFill>
      </fill>
    </dxf>
    <dxf>
      <font>
        <color theme="0"/>
      </font>
    </dxf>
    <dxf>
      <font>
        <color rgb="FF9C0006"/>
      </font>
      <fill>
        <patternFill>
          <bgColor rgb="FFFFC7CE"/>
        </patternFill>
      </fill>
    </dxf>
    <dxf>
      <font>
        <color theme="0"/>
      </font>
    </dxf>
    <dxf>
      <font>
        <color theme="0"/>
      </font>
      <numFmt numFmtId="167" formatCode=";;;"/>
      <fill>
        <patternFill patternType="none">
          <bgColor auto="1"/>
        </patternFill>
      </fill>
    </dxf>
    <dxf>
      <font>
        <color theme="0"/>
      </font>
      <numFmt numFmtId="167" formatCode=";;;"/>
      <fill>
        <patternFill patternType="none">
          <bgColor auto="1"/>
        </patternFill>
      </fill>
    </dxf>
    <dxf>
      <font>
        <color rgb="FF9C0006"/>
      </font>
      <fill>
        <patternFill>
          <bgColor rgb="FFFFC7CE"/>
        </patternFill>
      </fill>
    </dxf>
    <dxf>
      <font>
        <color rgb="FFFFFF00"/>
      </font>
      <fill>
        <patternFill>
          <bgColor rgb="FFFF0000"/>
        </patternFill>
      </fill>
    </dxf>
    <dxf>
      <font>
        <b/>
        <i val="0"/>
        <color rgb="FF0070C0"/>
        <name val="Cambria"/>
        <family val="1"/>
        <scheme val="none"/>
      </font>
    </dxf>
    <dxf>
      <font>
        <b/>
        <i val="0"/>
        <color theme="9"/>
        <name val="Cambria"/>
        <family val="1"/>
        <scheme val="none"/>
      </font>
    </dxf>
    <dxf>
      <font>
        <color theme="0"/>
      </font>
    </dxf>
    <dxf>
      <font>
        <color theme="0"/>
      </font>
    </dxf>
    <dxf>
      <font>
        <color theme="0"/>
      </font>
      <numFmt numFmtId="167" formatCode=";;;"/>
      <fill>
        <patternFill patternType="none">
          <bgColor auto="1"/>
        </patternFill>
      </fill>
    </dxf>
    <dxf>
      <font>
        <color theme="0"/>
      </font>
      <numFmt numFmtId="167" formatCode=";;;"/>
      <fill>
        <patternFill patternType="none">
          <bgColor auto="1"/>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FF00"/>
      </font>
      <fill>
        <patternFill>
          <bgColor rgb="FFFF0000"/>
        </patternFill>
      </fill>
    </dxf>
    <dxf>
      <font>
        <color theme="0"/>
      </font>
    </dxf>
    <dxf>
      <font>
        <color rgb="FF9C0006"/>
      </font>
      <fill>
        <patternFill>
          <bgColor rgb="FFFFC7CE"/>
        </patternFill>
      </fill>
    </dxf>
    <dxf>
      <font>
        <color theme="0"/>
      </font>
    </dxf>
    <dxf>
      <font>
        <color theme="0"/>
      </font>
      <numFmt numFmtId="167" formatCode=";;;"/>
      <fill>
        <patternFill patternType="none">
          <bgColor auto="1"/>
        </patternFill>
      </fill>
    </dxf>
    <dxf>
      <font>
        <color theme="0"/>
      </font>
      <numFmt numFmtId="167" formatCode=";;;"/>
      <fill>
        <patternFill patternType="none">
          <bgColor auto="1"/>
        </patternFill>
      </fill>
    </dxf>
    <dxf>
      <font>
        <color rgb="FF9C0006"/>
      </font>
      <fill>
        <patternFill>
          <bgColor rgb="FFFFC7CE"/>
        </patternFill>
      </fill>
    </dxf>
    <dxf>
      <font>
        <color rgb="FFFFFF00"/>
      </font>
      <fill>
        <patternFill>
          <bgColor rgb="FFFF0000"/>
        </patternFill>
      </fill>
    </dxf>
    <dxf>
      <font>
        <b/>
        <i val="0"/>
        <color rgb="FF0070C0"/>
        <name val="Cambria"/>
        <family val="1"/>
        <scheme val="none"/>
      </font>
    </dxf>
    <dxf>
      <font>
        <b/>
        <i val="0"/>
        <color theme="9"/>
        <name val="Cambria"/>
        <family val="1"/>
        <scheme val="none"/>
      </font>
    </dxf>
    <dxf>
      <font>
        <color theme="0"/>
      </font>
    </dxf>
    <dxf>
      <font>
        <color theme="0"/>
      </font>
    </dxf>
    <dxf>
      <font>
        <color theme="0"/>
      </font>
      <numFmt numFmtId="167" formatCode=";;;"/>
      <fill>
        <patternFill patternType="none">
          <bgColor auto="1"/>
        </patternFill>
      </fill>
    </dxf>
    <dxf>
      <font>
        <color theme="0"/>
      </font>
      <numFmt numFmtId="167" formatCode=";;;"/>
      <fill>
        <patternFill patternType="none">
          <bgColor auto="1"/>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FF00"/>
      </font>
      <fill>
        <patternFill>
          <bgColor rgb="FFFF0000"/>
        </patternFill>
      </fill>
    </dxf>
    <dxf>
      <font>
        <color theme="0"/>
      </font>
    </dxf>
    <dxf>
      <font>
        <color rgb="FF9C0006"/>
      </font>
      <fill>
        <patternFill>
          <bgColor rgb="FFFFC7CE"/>
        </patternFill>
      </fill>
    </dxf>
    <dxf>
      <font>
        <color theme="0"/>
      </font>
    </dxf>
    <dxf>
      <font>
        <color theme="0"/>
      </font>
      <numFmt numFmtId="167" formatCode=";;;"/>
      <fill>
        <patternFill patternType="none">
          <bgColor auto="1"/>
        </patternFill>
      </fill>
    </dxf>
    <dxf>
      <font>
        <color theme="0"/>
      </font>
      <numFmt numFmtId="167" formatCode=";;;"/>
      <fill>
        <patternFill patternType="none">
          <bgColor auto="1"/>
        </patternFill>
      </fill>
    </dxf>
    <dxf>
      <font>
        <color rgb="FF9C0006"/>
      </font>
      <fill>
        <patternFill>
          <bgColor rgb="FFFFC7CE"/>
        </patternFill>
      </fill>
    </dxf>
    <dxf>
      <font>
        <color rgb="FFFFFF00"/>
      </font>
      <fill>
        <patternFill>
          <bgColor rgb="FFFF0000"/>
        </patternFill>
      </fill>
    </dxf>
    <dxf>
      <font>
        <b/>
        <i val="0"/>
        <color rgb="FF0070C0"/>
        <name val="Cambria"/>
        <family val="1"/>
        <scheme val="none"/>
      </font>
    </dxf>
    <dxf>
      <font>
        <b/>
        <i val="0"/>
        <color theme="9"/>
        <name val="Cambria"/>
        <family val="1"/>
        <scheme val="none"/>
      </font>
    </dxf>
    <dxf>
      <font>
        <color theme="0"/>
      </font>
    </dxf>
    <dxf>
      <font>
        <color theme="0"/>
      </font>
    </dxf>
    <dxf>
      <font>
        <color theme="0"/>
      </font>
      <numFmt numFmtId="167" formatCode=";;;"/>
      <fill>
        <patternFill patternType="none">
          <bgColor auto="1"/>
        </patternFill>
      </fill>
    </dxf>
    <dxf>
      <font>
        <color theme="0"/>
      </font>
      <numFmt numFmtId="167" formatCode=";;;"/>
      <fill>
        <patternFill patternType="none">
          <bgColor auto="1"/>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FF00"/>
      </font>
      <fill>
        <patternFill>
          <bgColor rgb="FFFF0000"/>
        </patternFill>
      </fill>
    </dxf>
    <dxf>
      <font>
        <color theme="0"/>
      </font>
    </dxf>
    <dxf>
      <font>
        <color rgb="FF9C0006"/>
      </font>
      <fill>
        <patternFill>
          <bgColor rgb="FFFFC7CE"/>
        </patternFill>
      </fill>
    </dxf>
    <dxf>
      <font>
        <color theme="0"/>
      </font>
    </dxf>
    <dxf>
      <font>
        <color theme="0"/>
      </font>
      <numFmt numFmtId="167" formatCode=";;;"/>
      <fill>
        <patternFill patternType="none">
          <bgColor auto="1"/>
        </patternFill>
      </fill>
    </dxf>
    <dxf>
      <font>
        <color theme="0"/>
      </font>
      <numFmt numFmtId="167" formatCode=";;;"/>
      <fill>
        <patternFill patternType="none">
          <bgColor auto="1"/>
        </patternFill>
      </fill>
    </dxf>
    <dxf>
      <font>
        <color rgb="FF9C0006"/>
      </font>
      <fill>
        <patternFill>
          <bgColor rgb="FFFFC7CE"/>
        </patternFill>
      </fill>
    </dxf>
    <dxf>
      <font>
        <color rgb="FFFFFF00"/>
      </font>
      <fill>
        <patternFill>
          <bgColor rgb="FFFF0000"/>
        </patternFill>
      </fill>
    </dxf>
    <dxf>
      <font>
        <b/>
        <i val="0"/>
        <color rgb="FF0070C0"/>
        <name val="Cambria"/>
        <family val="1"/>
        <scheme val="none"/>
      </font>
    </dxf>
    <dxf>
      <font>
        <b/>
        <i val="0"/>
        <color theme="9"/>
        <name val="Cambria"/>
        <family val="1"/>
        <scheme val="none"/>
      </font>
    </dxf>
    <dxf>
      <font>
        <color theme="0"/>
      </font>
    </dxf>
    <dxf>
      <font>
        <color theme="0"/>
      </font>
    </dxf>
    <dxf>
      <font>
        <color theme="0"/>
      </font>
      <numFmt numFmtId="167" formatCode=";;;"/>
      <fill>
        <patternFill patternType="none">
          <bgColor auto="1"/>
        </patternFill>
      </fill>
    </dxf>
    <dxf>
      <font>
        <color theme="0"/>
      </font>
      <numFmt numFmtId="167" formatCode=";;;"/>
      <fill>
        <patternFill patternType="none">
          <bgColor auto="1"/>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FF00"/>
      </font>
      <fill>
        <patternFill>
          <bgColor rgb="FFFF0000"/>
        </patternFill>
      </fill>
    </dxf>
    <dxf>
      <font>
        <color theme="0"/>
      </font>
    </dxf>
    <dxf>
      <font>
        <color rgb="FF9C0006"/>
      </font>
      <fill>
        <patternFill>
          <bgColor rgb="FFFFC7CE"/>
        </patternFill>
      </fill>
    </dxf>
    <dxf>
      <font>
        <color theme="0"/>
      </font>
    </dxf>
    <dxf>
      <font>
        <color theme="0"/>
      </font>
      <numFmt numFmtId="167" formatCode=";;;"/>
      <fill>
        <patternFill patternType="none">
          <bgColor auto="1"/>
        </patternFill>
      </fill>
    </dxf>
    <dxf>
      <font>
        <color theme="0"/>
      </font>
      <numFmt numFmtId="167" formatCode=";;;"/>
      <fill>
        <patternFill patternType="none">
          <bgColor auto="1"/>
        </patternFill>
      </fill>
    </dxf>
    <dxf>
      <font>
        <color rgb="FF9C0006"/>
      </font>
      <fill>
        <patternFill>
          <bgColor rgb="FFFFC7CE"/>
        </patternFill>
      </fill>
    </dxf>
    <dxf>
      <font>
        <color rgb="FFFFFF00"/>
      </font>
      <fill>
        <patternFill>
          <bgColor rgb="FFFF0000"/>
        </patternFill>
      </fill>
    </dxf>
    <dxf>
      <font>
        <b/>
        <i val="0"/>
        <color rgb="FF0070C0"/>
        <name val="Cambria"/>
        <family val="1"/>
        <scheme val="none"/>
      </font>
    </dxf>
    <dxf>
      <font>
        <b/>
        <i val="0"/>
        <color theme="9"/>
        <name val="Cambria"/>
        <family val="1"/>
        <scheme val="none"/>
      </font>
    </dxf>
    <dxf>
      <font>
        <color theme="0"/>
      </font>
    </dxf>
    <dxf>
      <font>
        <color theme="0"/>
      </font>
    </dxf>
    <dxf>
      <font>
        <color theme="0"/>
      </font>
      <numFmt numFmtId="167" formatCode=";;;"/>
      <fill>
        <patternFill patternType="none">
          <bgColor auto="1"/>
        </patternFill>
      </fill>
    </dxf>
    <dxf>
      <font>
        <color theme="0"/>
      </font>
      <numFmt numFmtId="167" formatCode=";;;"/>
      <fill>
        <patternFill patternType="none">
          <bgColor auto="1"/>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FF00"/>
      </font>
      <fill>
        <patternFill>
          <bgColor rgb="FFFF0000"/>
        </patternFill>
      </fill>
    </dxf>
    <dxf>
      <font>
        <color theme="0"/>
      </font>
    </dxf>
    <dxf>
      <font>
        <color rgb="FF9C0006"/>
      </font>
      <fill>
        <patternFill>
          <bgColor rgb="FFFFC7CE"/>
        </patternFill>
      </fill>
    </dxf>
    <dxf>
      <font>
        <color theme="0"/>
      </font>
    </dxf>
    <dxf>
      <font>
        <color theme="0"/>
      </font>
      <numFmt numFmtId="167" formatCode=";;;"/>
      <fill>
        <patternFill patternType="none">
          <bgColor auto="1"/>
        </patternFill>
      </fill>
    </dxf>
    <dxf>
      <font>
        <color theme="0"/>
      </font>
      <numFmt numFmtId="167" formatCode=";;;"/>
      <fill>
        <patternFill patternType="none">
          <bgColor auto="1"/>
        </patternFill>
      </fill>
    </dxf>
    <dxf>
      <font>
        <color rgb="FF9C0006"/>
      </font>
      <fill>
        <patternFill>
          <bgColor rgb="FFFFC7CE"/>
        </patternFill>
      </fill>
    </dxf>
    <dxf>
      <font>
        <color rgb="FFFFFF00"/>
      </font>
      <fill>
        <patternFill>
          <bgColor rgb="FFFF0000"/>
        </patternFill>
      </fill>
    </dxf>
    <dxf>
      <font>
        <b/>
        <i val="0"/>
        <color rgb="FF0070C0"/>
        <name val="Cambria"/>
        <family val="1"/>
        <scheme val="none"/>
      </font>
    </dxf>
    <dxf>
      <font>
        <b/>
        <i val="0"/>
        <color theme="9"/>
        <name val="Cambria"/>
        <family val="1"/>
        <scheme val="none"/>
      </font>
    </dxf>
    <dxf>
      <font>
        <color theme="0"/>
      </font>
    </dxf>
    <dxf>
      <font>
        <color theme="0"/>
      </font>
    </dxf>
    <dxf>
      <font>
        <color theme="0"/>
      </font>
      <numFmt numFmtId="167" formatCode=";;;"/>
      <fill>
        <patternFill patternType="none">
          <bgColor auto="1"/>
        </patternFill>
      </fill>
    </dxf>
    <dxf>
      <font>
        <color theme="0"/>
      </font>
      <numFmt numFmtId="167" formatCode=";;;"/>
      <fill>
        <patternFill patternType="none">
          <bgColor auto="1"/>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FF00"/>
      </font>
      <fill>
        <patternFill>
          <bgColor rgb="FFFF0000"/>
        </patternFill>
      </fill>
    </dxf>
    <dxf>
      <font>
        <color theme="0"/>
      </font>
    </dxf>
    <dxf>
      <font>
        <color rgb="FF9C0006"/>
      </font>
      <fill>
        <patternFill>
          <bgColor rgb="FFFFC7CE"/>
        </patternFill>
      </fill>
    </dxf>
    <dxf>
      <font>
        <color theme="0"/>
      </font>
    </dxf>
    <dxf>
      <font>
        <color theme="0"/>
      </font>
      <numFmt numFmtId="167" formatCode=";;;"/>
      <fill>
        <patternFill patternType="none">
          <bgColor auto="1"/>
        </patternFill>
      </fill>
    </dxf>
    <dxf>
      <font>
        <color theme="0"/>
      </font>
      <numFmt numFmtId="167" formatCode=";;;"/>
      <fill>
        <patternFill patternType="none">
          <bgColor auto="1"/>
        </patternFill>
      </fill>
    </dxf>
    <dxf>
      <font>
        <color rgb="FF9C0006"/>
      </font>
      <fill>
        <patternFill>
          <bgColor rgb="FFFFC7CE"/>
        </patternFill>
      </fill>
    </dxf>
    <dxf>
      <font>
        <color rgb="FFFFFF00"/>
      </font>
      <fill>
        <patternFill>
          <bgColor rgb="FFFF0000"/>
        </patternFill>
      </fill>
    </dxf>
    <dxf>
      <font>
        <b/>
        <i val="0"/>
        <color rgb="FF0070C0"/>
        <name val="Cambria"/>
        <family val="1"/>
        <scheme val="none"/>
      </font>
    </dxf>
    <dxf>
      <font>
        <b/>
        <i val="0"/>
        <color theme="9"/>
        <name val="Cambria"/>
        <family val="1"/>
        <scheme val="none"/>
      </font>
    </dxf>
    <dxf>
      <font>
        <color theme="0"/>
      </font>
    </dxf>
    <dxf>
      <font>
        <color theme="0"/>
      </font>
    </dxf>
    <dxf>
      <font>
        <color theme="0"/>
      </font>
      <numFmt numFmtId="167" formatCode=";;;"/>
      <fill>
        <patternFill patternType="none">
          <bgColor auto="1"/>
        </patternFill>
      </fill>
    </dxf>
    <dxf>
      <font>
        <color theme="0"/>
      </font>
      <numFmt numFmtId="167" formatCode=";;;"/>
      <fill>
        <patternFill patternType="none">
          <bgColor auto="1"/>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FF00"/>
      </font>
      <fill>
        <patternFill>
          <bgColor rgb="FFFF0000"/>
        </patternFill>
      </fill>
    </dxf>
    <dxf>
      <font>
        <color theme="0"/>
      </font>
    </dxf>
    <dxf>
      <font>
        <color rgb="FF9C0006"/>
      </font>
      <fill>
        <patternFill>
          <bgColor rgb="FFFFC7CE"/>
        </patternFill>
      </fill>
    </dxf>
    <dxf>
      <font>
        <color theme="0"/>
      </font>
    </dxf>
    <dxf>
      <font>
        <color theme="0"/>
      </font>
      <numFmt numFmtId="167" formatCode=";;;"/>
      <fill>
        <patternFill patternType="none">
          <bgColor auto="1"/>
        </patternFill>
      </fill>
    </dxf>
    <dxf>
      <font>
        <color theme="0"/>
      </font>
      <numFmt numFmtId="167" formatCode=";;;"/>
      <fill>
        <patternFill patternType="none">
          <bgColor auto="1"/>
        </patternFill>
      </fill>
    </dxf>
    <dxf>
      <font>
        <color rgb="FF9C0006"/>
      </font>
      <fill>
        <patternFill>
          <bgColor rgb="FFFFC7CE"/>
        </patternFill>
      </fill>
    </dxf>
    <dxf>
      <font>
        <color rgb="FFFFFF00"/>
      </font>
      <fill>
        <patternFill>
          <bgColor rgb="FFFF0000"/>
        </patternFill>
      </fill>
    </dxf>
    <dxf>
      <font>
        <b/>
        <i val="0"/>
        <color rgb="FF0070C0"/>
        <name val="Cambria"/>
        <family val="1"/>
        <scheme val="none"/>
      </font>
    </dxf>
    <dxf>
      <font>
        <b/>
        <i val="0"/>
        <color theme="9"/>
        <name val="Cambria"/>
        <family val="1"/>
        <scheme val="none"/>
      </font>
    </dxf>
    <dxf>
      <font>
        <color theme="0"/>
      </font>
    </dxf>
    <dxf>
      <font>
        <color theme="0"/>
      </font>
    </dxf>
    <dxf>
      <font>
        <color theme="0"/>
      </font>
      <numFmt numFmtId="167" formatCode=";;;"/>
      <fill>
        <patternFill patternType="none">
          <bgColor auto="1"/>
        </patternFill>
      </fill>
    </dxf>
    <dxf>
      <font>
        <color theme="0"/>
      </font>
      <numFmt numFmtId="167" formatCode=";;;"/>
      <fill>
        <patternFill patternType="none">
          <bgColor auto="1"/>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FF00"/>
      </font>
      <fill>
        <patternFill>
          <bgColor rgb="FFFF0000"/>
        </patternFill>
      </fill>
    </dxf>
    <dxf>
      <font>
        <color rgb="FFFFFF00"/>
      </font>
      <fill>
        <patternFill>
          <bgColor rgb="FFFF0000"/>
        </patternFill>
      </fill>
    </dxf>
    <dxf>
      <font>
        <color rgb="FFFFFF00"/>
      </font>
      <fill>
        <patternFill>
          <bgColor rgb="FFFF0000"/>
        </patternFill>
      </fill>
    </dxf>
    <dxf>
      <font>
        <color rgb="FFFFFF00"/>
      </font>
      <fill>
        <patternFill>
          <bgColor rgb="FFFF0000"/>
        </patternFill>
      </fill>
    </dxf>
    <dxf>
      <font>
        <color rgb="FFFFFF00"/>
      </font>
      <fill>
        <patternFill>
          <bgColor rgb="FFFF0000"/>
        </patternFill>
      </fill>
    </dxf>
    <dxf>
      <font>
        <color rgb="FFFFFF00"/>
      </font>
      <fill>
        <patternFill>
          <bgColor rgb="FFFF0000"/>
        </patternFill>
      </fill>
    </dxf>
    <dxf>
      <font>
        <color rgb="FFFFFF00"/>
      </font>
      <fill>
        <patternFill>
          <bgColor rgb="FFFF0000"/>
        </patternFill>
      </fill>
    </dxf>
  </dxfs>
  <tableStyles count="0" defaultTableStyle="TableStyleMedium2" defaultPivotStyle="PivotStyleLight16"/>
  <colors>
    <mruColors>
      <color rgb="FFFFFF99"/>
      <color rgb="FFCCFFCC"/>
      <color rgb="FF008000"/>
      <color rgb="FF33CC33"/>
      <color rgb="FF006600"/>
      <color rgb="FF339933"/>
      <color rgb="FF33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3044886</xdr:colOff>
      <xdr:row>5</xdr:row>
      <xdr:rowOff>91500</xdr:rowOff>
    </xdr:to>
    <xdr:pic>
      <xdr:nvPicPr>
        <xdr:cNvPr id="2" name="Imagen 1">
          <a:extLst>
            <a:ext uri="{FF2B5EF4-FFF2-40B4-BE49-F238E27FC236}">
              <a16:creationId xmlns:a16="http://schemas.microsoft.com/office/drawing/2014/main" id="{E6A2EDAF-CA9A-44F0-B2DF-36450A5C3F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3044886" cy="1044000"/>
        </a:xfrm>
        <a:prstGeom prst="rect">
          <a:avLst/>
        </a:prstGeom>
      </xdr:spPr>
    </xdr:pic>
    <xdr:clientData/>
  </xdr:twoCellAnchor>
  <xdr:twoCellAnchor editAs="oneCell">
    <xdr:from>
      <xdr:col>9</xdr:col>
      <xdr:colOff>371475</xdr:colOff>
      <xdr:row>0</xdr:row>
      <xdr:rowOff>0</xdr:rowOff>
    </xdr:from>
    <xdr:to>
      <xdr:col>10</xdr:col>
      <xdr:colOff>765142</xdr:colOff>
      <xdr:row>5</xdr:row>
      <xdr:rowOff>91500</xdr:rowOff>
    </xdr:to>
    <xdr:pic>
      <xdr:nvPicPr>
        <xdr:cNvPr id="3" name="Picture 18">
          <a:extLst>
            <a:ext uri="{FF2B5EF4-FFF2-40B4-BE49-F238E27FC236}">
              <a16:creationId xmlns:a16="http://schemas.microsoft.com/office/drawing/2014/main" id="{BE99D066-C5ED-4DC2-8F41-16657EB59E1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277350" y="0"/>
          <a:ext cx="841341" cy="104400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3044886</xdr:colOff>
      <xdr:row>5</xdr:row>
      <xdr:rowOff>91500</xdr:rowOff>
    </xdr:to>
    <xdr:pic>
      <xdr:nvPicPr>
        <xdr:cNvPr id="4" name="Imagen 3">
          <a:extLst>
            <a:ext uri="{FF2B5EF4-FFF2-40B4-BE49-F238E27FC236}">
              <a16:creationId xmlns:a16="http://schemas.microsoft.com/office/drawing/2014/main" id="{1CE7217C-E643-46C7-80E7-E64CE896EBA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3044886" cy="1044000"/>
        </a:xfrm>
        <a:prstGeom prst="rect">
          <a:avLst/>
        </a:prstGeom>
      </xdr:spPr>
    </xdr:pic>
    <xdr:clientData/>
  </xdr:twoCellAnchor>
  <xdr:twoCellAnchor editAs="oneCell">
    <xdr:from>
      <xdr:col>11</xdr:col>
      <xdr:colOff>371475</xdr:colOff>
      <xdr:row>0</xdr:row>
      <xdr:rowOff>0</xdr:rowOff>
    </xdr:from>
    <xdr:to>
      <xdr:col>12</xdr:col>
      <xdr:colOff>765141</xdr:colOff>
      <xdr:row>5</xdr:row>
      <xdr:rowOff>91500</xdr:rowOff>
    </xdr:to>
    <xdr:pic>
      <xdr:nvPicPr>
        <xdr:cNvPr id="2" name="Picture 18">
          <a:extLst>
            <a:ext uri="{FF2B5EF4-FFF2-40B4-BE49-F238E27FC236}">
              <a16:creationId xmlns:a16="http://schemas.microsoft.com/office/drawing/2014/main" id="{1F16B812-A2E6-2377-D5E3-F78BF6482DB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277350" y="0"/>
          <a:ext cx="841341" cy="104400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3044886</xdr:colOff>
      <xdr:row>5</xdr:row>
      <xdr:rowOff>91500</xdr:rowOff>
    </xdr:to>
    <xdr:pic>
      <xdr:nvPicPr>
        <xdr:cNvPr id="2" name="Imagen 1">
          <a:extLst>
            <a:ext uri="{FF2B5EF4-FFF2-40B4-BE49-F238E27FC236}">
              <a16:creationId xmlns:a16="http://schemas.microsoft.com/office/drawing/2014/main" id="{D6238AA3-C22F-440B-83FB-1AA8566A8C4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3044886" cy="1044000"/>
        </a:xfrm>
        <a:prstGeom prst="rect">
          <a:avLst/>
        </a:prstGeom>
      </xdr:spPr>
    </xdr:pic>
    <xdr:clientData/>
  </xdr:twoCellAnchor>
  <xdr:twoCellAnchor editAs="oneCell">
    <xdr:from>
      <xdr:col>11</xdr:col>
      <xdr:colOff>371475</xdr:colOff>
      <xdr:row>0</xdr:row>
      <xdr:rowOff>0</xdr:rowOff>
    </xdr:from>
    <xdr:to>
      <xdr:col>12</xdr:col>
      <xdr:colOff>765141</xdr:colOff>
      <xdr:row>5</xdr:row>
      <xdr:rowOff>91500</xdr:rowOff>
    </xdr:to>
    <xdr:pic>
      <xdr:nvPicPr>
        <xdr:cNvPr id="3" name="Picture 18">
          <a:extLst>
            <a:ext uri="{FF2B5EF4-FFF2-40B4-BE49-F238E27FC236}">
              <a16:creationId xmlns:a16="http://schemas.microsoft.com/office/drawing/2014/main" id="{5936B368-5311-4F4D-8A07-5B807599B41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277350" y="0"/>
          <a:ext cx="841341" cy="104400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3044886</xdr:colOff>
      <xdr:row>5</xdr:row>
      <xdr:rowOff>91500</xdr:rowOff>
    </xdr:to>
    <xdr:pic>
      <xdr:nvPicPr>
        <xdr:cNvPr id="2" name="Imagen 1">
          <a:extLst>
            <a:ext uri="{FF2B5EF4-FFF2-40B4-BE49-F238E27FC236}">
              <a16:creationId xmlns:a16="http://schemas.microsoft.com/office/drawing/2014/main" id="{E76CFB4E-7FE0-4A17-AF4C-69D86B71B82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3044886" cy="1044000"/>
        </a:xfrm>
        <a:prstGeom prst="rect">
          <a:avLst/>
        </a:prstGeom>
      </xdr:spPr>
    </xdr:pic>
    <xdr:clientData/>
  </xdr:twoCellAnchor>
  <xdr:twoCellAnchor editAs="oneCell">
    <xdr:from>
      <xdr:col>11</xdr:col>
      <xdr:colOff>371475</xdr:colOff>
      <xdr:row>0</xdr:row>
      <xdr:rowOff>0</xdr:rowOff>
    </xdr:from>
    <xdr:to>
      <xdr:col>12</xdr:col>
      <xdr:colOff>765141</xdr:colOff>
      <xdr:row>5</xdr:row>
      <xdr:rowOff>91500</xdr:rowOff>
    </xdr:to>
    <xdr:pic>
      <xdr:nvPicPr>
        <xdr:cNvPr id="3" name="Picture 18">
          <a:extLst>
            <a:ext uri="{FF2B5EF4-FFF2-40B4-BE49-F238E27FC236}">
              <a16:creationId xmlns:a16="http://schemas.microsoft.com/office/drawing/2014/main" id="{AC6ACA42-CBA3-4BE9-9622-DA830D3D90B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277350" y="0"/>
          <a:ext cx="841341" cy="104400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3044886</xdr:colOff>
      <xdr:row>5</xdr:row>
      <xdr:rowOff>91500</xdr:rowOff>
    </xdr:to>
    <xdr:pic>
      <xdr:nvPicPr>
        <xdr:cNvPr id="2" name="Imagen 1">
          <a:extLst>
            <a:ext uri="{FF2B5EF4-FFF2-40B4-BE49-F238E27FC236}">
              <a16:creationId xmlns:a16="http://schemas.microsoft.com/office/drawing/2014/main" id="{74441C8E-9376-47E5-BB81-6F1AAFA69F2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3044886" cy="1044000"/>
        </a:xfrm>
        <a:prstGeom prst="rect">
          <a:avLst/>
        </a:prstGeom>
      </xdr:spPr>
    </xdr:pic>
    <xdr:clientData/>
  </xdr:twoCellAnchor>
  <xdr:twoCellAnchor editAs="oneCell">
    <xdr:from>
      <xdr:col>11</xdr:col>
      <xdr:colOff>371475</xdr:colOff>
      <xdr:row>0</xdr:row>
      <xdr:rowOff>0</xdr:rowOff>
    </xdr:from>
    <xdr:to>
      <xdr:col>12</xdr:col>
      <xdr:colOff>765141</xdr:colOff>
      <xdr:row>5</xdr:row>
      <xdr:rowOff>91500</xdr:rowOff>
    </xdr:to>
    <xdr:pic>
      <xdr:nvPicPr>
        <xdr:cNvPr id="3" name="Picture 18">
          <a:extLst>
            <a:ext uri="{FF2B5EF4-FFF2-40B4-BE49-F238E27FC236}">
              <a16:creationId xmlns:a16="http://schemas.microsoft.com/office/drawing/2014/main" id="{9E6B0B36-5BFE-4E95-AFDE-9CD81B3C089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277350" y="0"/>
          <a:ext cx="841341" cy="104400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3044886</xdr:colOff>
      <xdr:row>5</xdr:row>
      <xdr:rowOff>91500</xdr:rowOff>
    </xdr:to>
    <xdr:pic>
      <xdr:nvPicPr>
        <xdr:cNvPr id="2" name="Imagen 1">
          <a:extLst>
            <a:ext uri="{FF2B5EF4-FFF2-40B4-BE49-F238E27FC236}">
              <a16:creationId xmlns:a16="http://schemas.microsoft.com/office/drawing/2014/main" id="{0D5020F0-9551-4E8C-A42E-AF692760D97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3044886" cy="1044000"/>
        </a:xfrm>
        <a:prstGeom prst="rect">
          <a:avLst/>
        </a:prstGeom>
      </xdr:spPr>
    </xdr:pic>
    <xdr:clientData/>
  </xdr:twoCellAnchor>
  <xdr:twoCellAnchor editAs="oneCell">
    <xdr:from>
      <xdr:col>11</xdr:col>
      <xdr:colOff>371475</xdr:colOff>
      <xdr:row>0</xdr:row>
      <xdr:rowOff>0</xdr:rowOff>
    </xdr:from>
    <xdr:to>
      <xdr:col>12</xdr:col>
      <xdr:colOff>765141</xdr:colOff>
      <xdr:row>5</xdr:row>
      <xdr:rowOff>91500</xdr:rowOff>
    </xdr:to>
    <xdr:pic>
      <xdr:nvPicPr>
        <xdr:cNvPr id="3" name="Picture 18">
          <a:extLst>
            <a:ext uri="{FF2B5EF4-FFF2-40B4-BE49-F238E27FC236}">
              <a16:creationId xmlns:a16="http://schemas.microsoft.com/office/drawing/2014/main" id="{8C8C418A-15FA-47EB-B9AE-2615414326D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277350" y="0"/>
          <a:ext cx="841341" cy="10440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3044886</xdr:colOff>
      <xdr:row>5</xdr:row>
      <xdr:rowOff>91500</xdr:rowOff>
    </xdr:to>
    <xdr:pic>
      <xdr:nvPicPr>
        <xdr:cNvPr id="2" name="Imagen 1">
          <a:extLst>
            <a:ext uri="{FF2B5EF4-FFF2-40B4-BE49-F238E27FC236}">
              <a16:creationId xmlns:a16="http://schemas.microsoft.com/office/drawing/2014/main" id="{08E8E83C-258F-48B4-9714-CD78E2E12E5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3044886" cy="1044000"/>
        </a:xfrm>
        <a:prstGeom prst="rect">
          <a:avLst/>
        </a:prstGeom>
      </xdr:spPr>
    </xdr:pic>
    <xdr:clientData/>
  </xdr:twoCellAnchor>
  <xdr:twoCellAnchor editAs="oneCell">
    <xdr:from>
      <xdr:col>11</xdr:col>
      <xdr:colOff>371475</xdr:colOff>
      <xdr:row>0</xdr:row>
      <xdr:rowOff>0</xdr:rowOff>
    </xdr:from>
    <xdr:to>
      <xdr:col>12</xdr:col>
      <xdr:colOff>765141</xdr:colOff>
      <xdr:row>5</xdr:row>
      <xdr:rowOff>91500</xdr:rowOff>
    </xdr:to>
    <xdr:pic>
      <xdr:nvPicPr>
        <xdr:cNvPr id="3" name="Picture 18">
          <a:extLst>
            <a:ext uri="{FF2B5EF4-FFF2-40B4-BE49-F238E27FC236}">
              <a16:creationId xmlns:a16="http://schemas.microsoft.com/office/drawing/2014/main" id="{ADDD300A-5C54-43AC-A824-A1EDA6C7B81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277350" y="0"/>
          <a:ext cx="841341" cy="1044000"/>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3044886</xdr:colOff>
      <xdr:row>5</xdr:row>
      <xdr:rowOff>91500</xdr:rowOff>
    </xdr:to>
    <xdr:pic>
      <xdr:nvPicPr>
        <xdr:cNvPr id="2" name="Imagen 1">
          <a:extLst>
            <a:ext uri="{FF2B5EF4-FFF2-40B4-BE49-F238E27FC236}">
              <a16:creationId xmlns:a16="http://schemas.microsoft.com/office/drawing/2014/main" id="{1D84013B-0657-4CA1-9787-8C8A135AAC1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3044886" cy="1044000"/>
        </a:xfrm>
        <a:prstGeom prst="rect">
          <a:avLst/>
        </a:prstGeom>
      </xdr:spPr>
    </xdr:pic>
    <xdr:clientData/>
  </xdr:twoCellAnchor>
  <xdr:twoCellAnchor editAs="oneCell">
    <xdr:from>
      <xdr:col>11</xdr:col>
      <xdr:colOff>371475</xdr:colOff>
      <xdr:row>0</xdr:row>
      <xdr:rowOff>0</xdr:rowOff>
    </xdr:from>
    <xdr:to>
      <xdr:col>12</xdr:col>
      <xdr:colOff>765141</xdr:colOff>
      <xdr:row>5</xdr:row>
      <xdr:rowOff>91500</xdr:rowOff>
    </xdr:to>
    <xdr:pic>
      <xdr:nvPicPr>
        <xdr:cNvPr id="3" name="Picture 18">
          <a:extLst>
            <a:ext uri="{FF2B5EF4-FFF2-40B4-BE49-F238E27FC236}">
              <a16:creationId xmlns:a16="http://schemas.microsoft.com/office/drawing/2014/main" id="{7A69342B-2D49-4945-AE1F-8E6662323F4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277350" y="0"/>
          <a:ext cx="841341" cy="1044000"/>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3044886</xdr:colOff>
      <xdr:row>5</xdr:row>
      <xdr:rowOff>91500</xdr:rowOff>
    </xdr:to>
    <xdr:pic>
      <xdr:nvPicPr>
        <xdr:cNvPr id="2" name="Imagen 1">
          <a:extLst>
            <a:ext uri="{FF2B5EF4-FFF2-40B4-BE49-F238E27FC236}">
              <a16:creationId xmlns:a16="http://schemas.microsoft.com/office/drawing/2014/main" id="{8EE5DAA1-9471-4C6D-8F5F-2EEA7E9B4E5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3044886" cy="1044000"/>
        </a:xfrm>
        <a:prstGeom prst="rect">
          <a:avLst/>
        </a:prstGeom>
      </xdr:spPr>
    </xdr:pic>
    <xdr:clientData/>
  </xdr:twoCellAnchor>
  <xdr:twoCellAnchor editAs="oneCell">
    <xdr:from>
      <xdr:col>11</xdr:col>
      <xdr:colOff>371475</xdr:colOff>
      <xdr:row>0</xdr:row>
      <xdr:rowOff>0</xdr:rowOff>
    </xdr:from>
    <xdr:to>
      <xdr:col>12</xdr:col>
      <xdr:colOff>765141</xdr:colOff>
      <xdr:row>5</xdr:row>
      <xdr:rowOff>91500</xdr:rowOff>
    </xdr:to>
    <xdr:pic>
      <xdr:nvPicPr>
        <xdr:cNvPr id="3" name="Picture 18">
          <a:extLst>
            <a:ext uri="{FF2B5EF4-FFF2-40B4-BE49-F238E27FC236}">
              <a16:creationId xmlns:a16="http://schemas.microsoft.com/office/drawing/2014/main" id="{C26267EF-57EB-4294-B354-891FD0E7005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277350" y="0"/>
          <a:ext cx="841341" cy="1044000"/>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682686</xdr:colOff>
      <xdr:row>5</xdr:row>
      <xdr:rowOff>91500</xdr:rowOff>
    </xdr:to>
    <xdr:pic>
      <xdr:nvPicPr>
        <xdr:cNvPr id="2" name="Imagen 1">
          <a:extLst>
            <a:ext uri="{FF2B5EF4-FFF2-40B4-BE49-F238E27FC236}">
              <a16:creationId xmlns:a16="http://schemas.microsoft.com/office/drawing/2014/main" id="{6D9162AD-106A-49D2-9938-D588D0ED1C7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3044886" cy="10440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974A9-FC27-4FB7-8A08-04D3A930F119}">
  <sheetPr>
    <pageSetUpPr fitToPage="1"/>
  </sheetPr>
  <dimension ref="A1:N46"/>
  <sheetViews>
    <sheetView tabSelected="1" zoomScale="93" zoomScaleNormal="93" workbookViewId="0">
      <selection activeCell="D30" sqref="D30"/>
    </sheetView>
  </sheetViews>
  <sheetFormatPr defaultColWidth="11.44140625" defaultRowHeight="13.2" x14ac:dyDescent="0.25"/>
  <cols>
    <col min="1" max="1" width="50.6640625" customWidth="1"/>
    <col min="2" max="6" width="12.6640625" customWidth="1"/>
    <col min="7" max="10" width="6.6640625" customWidth="1"/>
    <col min="11" max="12" width="11.5546875" customWidth="1"/>
  </cols>
  <sheetData>
    <row r="1" spans="1:11" ht="15" customHeight="1" x14ac:dyDescent="0.25">
      <c r="F1" s="1"/>
      <c r="G1" s="2"/>
      <c r="H1" s="2"/>
      <c r="I1" s="2"/>
      <c r="J1" s="2"/>
    </row>
    <row r="2" spans="1:11" ht="15" customHeight="1" x14ac:dyDescent="0.25">
      <c r="F2" s="1"/>
      <c r="G2" s="2"/>
      <c r="H2" s="2"/>
      <c r="I2" s="2"/>
      <c r="J2" s="2"/>
    </row>
    <row r="3" spans="1:11" ht="15" customHeight="1" x14ac:dyDescent="0.25">
      <c r="F3" s="1"/>
      <c r="G3" s="2"/>
      <c r="H3" s="2"/>
      <c r="I3" s="2"/>
      <c r="J3" s="2"/>
    </row>
    <row r="4" spans="1:11" ht="15" customHeight="1" x14ac:dyDescent="0.25">
      <c r="F4" s="1"/>
      <c r="G4" s="2"/>
      <c r="H4" s="2"/>
      <c r="I4" s="2"/>
      <c r="J4" s="2"/>
    </row>
    <row r="5" spans="1:11" ht="15" customHeight="1" x14ac:dyDescent="0.3">
      <c r="A5" s="3"/>
      <c r="B5" s="3"/>
      <c r="F5" s="1"/>
      <c r="G5" s="2"/>
      <c r="H5" s="2"/>
      <c r="I5" s="2"/>
      <c r="J5" s="2"/>
    </row>
    <row r="6" spans="1:11" ht="15" customHeight="1" x14ac:dyDescent="0.3">
      <c r="A6" s="3"/>
      <c r="B6" s="3"/>
      <c r="F6" s="1"/>
      <c r="G6" s="2"/>
      <c r="H6" s="2"/>
      <c r="I6" s="2"/>
      <c r="J6" s="2"/>
    </row>
    <row r="7" spans="1:11" s="4" customFormat="1" ht="13.8" thickBot="1" x14ac:dyDescent="0.3">
      <c r="A7" s="4" t="s">
        <v>0</v>
      </c>
      <c r="K7" s="4" t="s">
        <v>1</v>
      </c>
    </row>
    <row r="8" spans="1:11" s="7" customFormat="1" x14ac:dyDescent="0.25">
      <c r="F8" s="19"/>
      <c r="G8" s="20"/>
      <c r="H8" s="20"/>
      <c r="I8" s="20"/>
      <c r="J8" s="20"/>
      <c r="K8" s="21"/>
    </row>
    <row r="9" spans="1:11" s="7" customFormat="1" x14ac:dyDescent="0.25">
      <c r="C9" s="118" t="s">
        <v>2</v>
      </c>
      <c r="D9" s="118" t="s">
        <v>3</v>
      </c>
      <c r="F9" s="19"/>
      <c r="I9" s="20"/>
      <c r="J9" s="21"/>
    </row>
    <row r="10" spans="1:11" s="7" customFormat="1" x14ac:dyDescent="0.25">
      <c r="A10" s="117" t="s">
        <v>4</v>
      </c>
      <c r="B10" s="26"/>
      <c r="C10" s="110">
        <v>30</v>
      </c>
      <c r="D10" s="111">
        <v>30</v>
      </c>
      <c r="E10" s="10" t="s">
        <v>5</v>
      </c>
      <c r="F10" s="100"/>
      <c r="G10" s="100"/>
      <c r="I10" s="20"/>
      <c r="J10" s="21"/>
    </row>
    <row r="11" spans="1:11" s="7" customFormat="1" x14ac:dyDescent="0.25">
      <c r="A11" s="50"/>
      <c r="B11" s="50"/>
      <c r="C11" s="17" t="str">
        <f>IF(OR(C10=48,C10=24),"Note: this value does not comply with EN 54"," ")</f>
        <v xml:space="preserve"> </v>
      </c>
      <c r="D11" s="51"/>
      <c r="F11" s="19"/>
      <c r="G11" s="20"/>
      <c r="I11" s="20"/>
      <c r="J11" s="21"/>
    </row>
    <row r="12" spans="1:11" s="7" customFormat="1" x14ac:dyDescent="0.25">
      <c r="A12" s="117" t="s">
        <v>6</v>
      </c>
      <c r="B12" s="117"/>
      <c r="C12" s="118" t="s">
        <v>7</v>
      </c>
      <c r="D12" s="118" t="s">
        <v>8</v>
      </c>
      <c r="F12" s="19"/>
      <c r="I12" s="20"/>
      <c r="J12" s="21"/>
    </row>
    <row r="13" spans="1:11" s="7" customFormat="1" x14ac:dyDescent="0.25">
      <c r="A13" s="119" t="s">
        <v>9</v>
      </c>
      <c r="B13" s="117"/>
      <c r="C13" s="120">
        <f>IF($A13&lt;&gt;" ",VLOOKUP($A13,Data!$A$30:$D$30,2,FALSE),0)</f>
        <v>0.2</v>
      </c>
      <c r="D13" s="120">
        <f>IF($A13&lt;&gt;" ",VLOOKUP($A13,Data!$A$30:$D$30,3,FALSE),0)</f>
        <v>0.2</v>
      </c>
      <c r="E13" s="10" t="s">
        <v>10</v>
      </c>
      <c r="F13" s="100"/>
      <c r="G13" s="100"/>
      <c r="I13" s="20"/>
      <c r="J13" s="21"/>
    </row>
    <row r="16" spans="1:11" s="7" customFormat="1" x14ac:dyDescent="0.25">
      <c r="A16" s="117" t="s">
        <v>11</v>
      </c>
      <c r="B16" s="118" t="s">
        <v>12</v>
      </c>
      <c r="C16" s="118" t="s">
        <v>7</v>
      </c>
      <c r="D16" s="118" t="s">
        <v>8</v>
      </c>
      <c r="F16" s="19"/>
      <c r="I16" s="20"/>
      <c r="J16" s="21"/>
    </row>
    <row r="17" spans="1:14" s="7" customFormat="1" x14ac:dyDescent="0.25">
      <c r="A17" s="26" t="s">
        <v>13</v>
      </c>
      <c r="B17" s="26"/>
      <c r="C17" s="115">
        <v>0</v>
      </c>
      <c r="D17" s="115">
        <v>0</v>
      </c>
      <c r="E17"/>
      <c r="F17" s="100"/>
      <c r="G17" s="100"/>
      <c r="I17" s="20"/>
      <c r="J17" s="21"/>
    </row>
    <row r="18" spans="1:14" s="7" customFormat="1" x14ac:dyDescent="0.25">
      <c r="A18" s="26" t="s">
        <v>14</v>
      </c>
      <c r="B18" s="26"/>
      <c r="C18" s="115">
        <v>0</v>
      </c>
      <c r="D18" s="115">
        <v>0</v>
      </c>
      <c r="E18"/>
      <c r="F18" s="100"/>
      <c r="G18" s="100"/>
      <c r="I18" s="20"/>
      <c r="J18" s="21"/>
    </row>
    <row r="19" spans="1:14" s="7" customFormat="1" x14ac:dyDescent="0.25">
      <c r="A19" s="121" t="s">
        <v>15</v>
      </c>
      <c r="B19" s="127">
        <v>0</v>
      </c>
      <c r="C19" s="120">
        <f>IF($A19&lt;&gt;" ",VLOOKUP($A19,Data!$A$33:$C$36,2,FALSE),0)*B19</f>
        <v>0</v>
      </c>
      <c r="D19" s="120">
        <f>IF($A19&lt;&gt;" ",VLOOKUP($A19,Data!$A$33:$C$36,3,FALSE),0)*B19</f>
        <v>0</v>
      </c>
      <c r="E19" s="10" t="s">
        <v>16</v>
      </c>
      <c r="F19" s="100"/>
      <c r="G19" s="100"/>
      <c r="I19" s="20"/>
      <c r="J19" s="21"/>
    </row>
    <row r="20" spans="1:14" s="7" customFormat="1" x14ac:dyDescent="0.25">
      <c r="A20" s="121" t="s">
        <v>17</v>
      </c>
      <c r="B20" s="127">
        <v>0</v>
      </c>
      <c r="C20" s="120">
        <f>IF($A20&lt;&gt;" ",VLOOKUP($A20,Data!$A$33:$C$36,2,FALSE),0)*B20</f>
        <v>0</v>
      </c>
      <c r="D20" s="120">
        <f>IF($A20&lt;&gt;" ",VLOOKUP($A20,Data!$A$33:$C$36,3,FALSE),0)*B20</f>
        <v>0</v>
      </c>
      <c r="E20"/>
      <c r="F20" s="100"/>
      <c r="G20" s="100"/>
      <c r="I20" s="20"/>
      <c r="J20" s="21"/>
      <c r="M20" s="132"/>
      <c r="N20" s="132"/>
    </row>
    <row r="21" spans="1:14" s="7" customFormat="1" x14ac:dyDescent="0.25">
      <c r="A21" s="121" t="s">
        <v>18</v>
      </c>
      <c r="B21" s="127">
        <v>0</v>
      </c>
      <c r="C21" s="120">
        <f>IF($A21&lt;&gt;" ",VLOOKUP($A21,Data!$A$33:$C$36,2,FALSE),0)*B21</f>
        <v>0</v>
      </c>
      <c r="D21" s="120">
        <f>IF($A21&lt;&gt;" ",VLOOKUP($A21,Data!$A$33:$C$36,3,FALSE),0)*B21</f>
        <v>0</v>
      </c>
      <c r="E21"/>
      <c r="F21" s="100"/>
      <c r="G21" s="100"/>
      <c r="I21" s="20"/>
      <c r="J21" s="21"/>
    </row>
    <row r="22" spans="1:14" s="7" customFormat="1" x14ac:dyDescent="0.25">
      <c r="A22" s="121" t="s">
        <v>19</v>
      </c>
      <c r="B22" s="127">
        <v>0</v>
      </c>
      <c r="C22" s="120">
        <f>IF($A22&lt;&gt;" ",VLOOKUP($A22,Data!$A$33:$C$36,2,FALSE),0)*B22</f>
        <v>0</v>
      </c>
      <c r="D22" s="120">
        <f>IF($A22&lt;&gt;" ",VLOOKUP($A22,Data!$A$33:$C$36,3,FALSE),0)*B22</f>
        <v>0</v>
      </c>
      <c r="E22"/>
      <c r="F22" s="100"/>
      <c r="G22" s="100"/>
      <c r="I22" s="20"/>
      <c r="J22" s="21"/>
    </row>
    <row r="23" spans="1:14" s="7" customFormat="1" x14ac:dyDescent="0.25">
      <c r="A23" s="26" t="s">
        <v>20</v>
      </c>
      <c r="B23" s="26"/>
      <c r="C23" s="120">
        <f>C44</f>
        <v>0</v>
      </c>
      <c r="D23" s="120">
        <f>D44</f>
        <v>0</v>
      </c>
      <c r="E23"/>
      <c r="F23" s="100"/>
      <c r="G23" s="100"/>
      <c r="I23" s="20"/>
      <c r="J23" s="21"/>
    </row>
    <row r="24" spans="1:14" s="7" customFormat="1" x14ac:dyDescent="0.25">
      <c r="A24" s="117" t="s">
        <v>21</v>
      </c>
      <c r="B24" s="117"/>
      <c r="C24" s="122">
        <f>C13+C17+C18+C19+C20+C21+C22+C23</f>
        <v>0.2</v>
      </c>
      <c r="D24" s="122">
        <f>D13+D17+D18+D19+D20+D21+D22+D23</f>
        <v>0.2</v>
      </c>
      <c r="E24" s="17" t="str">
        <f>IF(OR(C24&gt;4,D24&gt;5.5),"Imax a = 4A; Imax b = 5.5A","")</f>
        <v/>
      </c>
    </row>
    <row r="26" spans="1:14" s="7" customFormat="1" x14ac:dyDescent="0.25">
      <c r="B26" s="125" t="s">
        <v>22</v>
      </c>
      <c r="C26" s="125" t="s">
        <v>23</v>
      </c>
      <c r="D26" s="125" t="s">
        <v>24</v>
      </c>
      <c r="E26" s="10"/>
      <c r="F26" s="100"/>
      <c r="G26" s="100"/>
      <c r="I26" s="20"/>
      <c r="J26" s="21"/>
    </row>
    <row r="27" spans="1:14" s="7" customFormat="1" x14ac:dyDescent="0.25">
      <c r="A27" s="117" t="s">
        <v>25</v>
      </c>
      <c r="B27" s="123">
        <f>((7/1.25)-(D24*(D10/60)))/C24</f>
        <v>27.5</v>
      </c>
      <c r="C27" s="123">
        <f>((12/1.25)-(D24*(D10/60)))/C24</f>
        <v>47.5</v>
      </c>
      <c r="D27" s="123">
        <f>((17/1.25)-(D24*(D10/60)))/C24</f>
        <v>67.5</v>
      </c>
      <c r="E27" s="10" t="s">
        <v>26</v>
      </c>
      <c r="F27" s="100"/>
      <c r="G27" s="100"/>
      <c r="I27" s="20"/>
      <c r="J27" s="21"/>
    </row>
    <row r="29" spans="1:14" s="7" customFormat="1" x14ac:dyDescent="0.25">
      <c r="A29" s="117" t="s">
        <v>27</v>
      </c>
      <c r="B29" s="118"/>
      <c r="C29" s="118" t="s">
        <v>28</v>
      </c>
      <c r="D29" s="118" t="s">
        <v>29</v>
      </c>
      <c r="F29" s="19"/>
      <c r="I29" s="20"/>
      <c r="J29" s="21"/>
    </row>
    <row r="30" spans="1:14" s="7" customFormat="1" x14ac:dyDescent="0.25">
      <c r="A30" s="114" t="s">
        <v>122</v>
      </c>
      <c r="B30" s="27"/>
      <c r="C30" s="126">
        <f>IF($A30&lt;&gt;" ",VLOOKUP($A30,Data!$A$39:$D$44,2,FALSE),0)</f>
        <v>12</v>
      </c>
      <c r="D30" s="131">
        <f>IF($A30&lt;&gt;" ",VLOOKUP($A30,Data!$A$39:$D$44,3,FALSE),0)</f>
        <v>17</v>
      </c>
      <c r="E30" s="10" t="s">
        <v>31</v>
      </c>
      <c r="F30" s="100"/>
      <c r="G30" s="100"/>
      <c r="I30" s="20"/>
      <c r="J30" s="21"/>
    </row>
    <row r="32" spans="1:14" s="7" customFormat="1" x14ac:dyDescent="0.25">
      <c r="A32" s="117" t="s">
        <v>32</v>
      </c>
      <c r="B32" s="124">
        <f>F32</f>
        <v>7.625</v>
      </c>
      <c r="C32" s="129">
        <f>(C24*C10)</f>
        <v>6</v>
      </c>
      <c r="D32" s="129">
        <f>(D24*(D10/60))</f>
        <v>0.1</v>
      </c>
      <c r="E32" s="129">
        <f>C32+D32</f>
        <v>6.1</v>
      </c>
      <c r="F32" s="129">
        <f>E32*1.25</f>
        <v>7.625</v>
      </c>
      <c r="G32" s="100"/>
      <c r="I32" s="20"/>
      <c r="J32" s="21"/>
    </row>
    <row r="33" spans="1:10" s="7" customFormat="1" x14ac:dyDescent="0.25">
      <c r="A33" s="117" t="s">
        <v>33</v>
      </c>
      <c r="B33" s="128" t="str">
        <f>IF(OR(F32&gt;D30,F32&gt;17),"FAIL","OK")</f>
        <v>OK</v>
      </c>
      <c r="C33" s="17" t="str">
        <f>IF(F32&gt;D30,IF(F32&gt;17,"Need external power supply",IF(F32&gt;12,"Need battery 17 Ah",IF(F32&gt;7,"Need battery 12 Ah","Need battery 7 Ah"))),"")</f>
        <v/>
      </c>
      <c r="D33" s="129"/>
      <c r="E33" s="129"/>
      <c r="F33" s="129"/>
      <c r="G33" s="100"/>
      <c r="I33" s="20"/>
      <c r="J33" s="21"/>
    </row>
    <row r="35" spans="1:10" s="7" customFormat="1" x14ac:dyDescent="0.25">
      <c r="A35" s="117" t="s">
        <v>34</v>
      </c>
      <c r="B35" s="117"/>
      <c r="C35" s="118" t="s">
        <v>7</v>
      </c>
      <c r="D35" s="118" t="s">
        <v>8</v>
      </c>
      <c r="E35" s="118" t="s">
        <v>35</v>
      </c>
      <c r="F35" s="118" t="s">
        <v>36</v>
      </c>
      <c r="I35" s="20"/>
      <c r="J35" s="21"/>
    </row>
    <row r="36" spans="1:10" s="7" customFormat="1" x14ac:dyDescent="0.25">
      <c r="A36" s="26" t="s">
        <v>37</v>
      </c>
      <c r="B36" s="26"/>
      <c r="C36" s="120">
        <f>'SC_Loop 1'!$D$33</f>
        <v>0</v>
      </c>
      <c r="D36" s="120">
        <f>'SC_Loop 1'!$G$33</f>
        <v>0</v>
      </c>
      <c r="E36" s="128" t="str">
        <f>'SC_Loop 1'!$M$10</f>
        <v>OK</v>
      </c>
      <c r="F36" s="128" t="str">
        <f>'SC_Loop 1'!$M$11</f>
        <v>OK</v>
      </c>
      <c r="G36" s="100"/>
      <c r="I36" s="20"/>
      <c r="J36" s="21"/>
    </row>
    <row r="37" spans="1:10" s="7" customFormat="1" x14ac:dyDescent="0.25">
      <c r="A37" s="26" t="s">
        <v>38</v>
      </c>
      <c r="B37" s="26"/>
      <c r="C37" s="120">
        <f>'SC_Loop 2'!$D$33</f>
        <v>0</v>
      </c>
      <c r="D37" s="120">
        <f>'SC_Loop 2'!$G$33</f>
        <v>0</v>
      </c>
      <c r="E37" s="128" t="str">
        <f>'SC_Loop 2'!$M$10</f>
        <v>OK</v>
      </c>
      <c r="F37" s="128" t="str">
        <f>'SC_Loop 2'!$M$11</f>
        <v>OK</v>
      </c>
      <c r="G37" s="100"/>
      <c r="I37" s="20"/>
      <c r="J37" s="21"/>
    </row>
    <row r="38" spans="1:10" s="7" customFormat="1" x14ac:dyDescent="0.25">
      <c r="A38" s="26" t="s">
        <v>39</v>
      </c>
      <c r="B38" s="26"/>
      <c r="C38" s="120">
        <f>'SC_Loop 3'!$D$33</f>
        <v>0</v>
      </c>
      <c r="D38" s="120">
        <f>'SC_Loop 3'!$G$33</f>
        <v>0</v>
      </c>
      <c r="E38" s="128" t="str">
        <f>'SC_Loop 3'!$M$10</f>
        <v>OK</v>
      </c>
      <c r="F38" s="128" t="str">
        <f>'SC_Loop 3'!$M$11</f>
        <v>OK</v>
      </c>
      <c r="G38" s="100"/>
      <c r="I38" s="20"/>
      <c r="J38" s="21"/>
    </row>
    <row r="39" spans="1:10" s="7" customFormat="1" x14ac:dyDescent="0.25">
      <c r="A39" s="26" t="s">
        <v>40</v>
      </c>
      <c r="B39" s="26"/>
      <c r="C39" s="120">
        <f>'SC_Loop 4'!$D$33</f>
        <v>0</v>
      </c>
      <c r="D39" s="120">
        <f>'SC_Loop 4'!$G$33</f>
        <v>0</v>
      </c>
      <c r="E39" s="128" t="str">
        <f>'SC_Loop 4'!$M$10</f>
        <v>OK</v>
      </c>
      <c r="F39" s="128" t="str">
        <f>'SC_Loop 4'!$M$11</f>
        <v>OK</v>
      </c>
      <c r="G39" s="100"/>
      <c r="I39" s="20"/>
      <c r="J39" s="21"/>
    </row>
    <row r="40" spans="1:10" s="7" customFormat="1" x14ac:dyDescent="0.25">
      <c r="A40" s="26" t="s">
        <v>41</v>
      </c>
      <c r="B40" s="26"/>
      <c r="C40" s="120">
        <f>'SC_Loop 5'!$D$33</f>
        <v>0</v>
      </c>
      <c r="D40" s="120">
        <f>'SC_Loop 5'!$G$33</f>
        <v>0</v>
      </c>
      <c r="E40" s="128" t="str">
        <f>'SC_Loop 5'!$M$10</f>
        <v>OK</v>
      </c>
      <c r="F40" s="128" t="str">
        <f>'SC_Loop 5'!$M$11</f>
        <v>OK</v>
      </c>
      <c r="G40" s="100"/>
      <c r="I40" s="20"/>
      <c r="J40" s="21"/>
    </row>
    <row r="41" spans="1:10" s="7" customFormat="1" x14ac:dyDescent="0.25">
      <c r="A41" s="26" t="s">
        <v>42</v>
      </c>
      <c r="B41" s="26"/>
      <c r="C41" s="120">
        <f>'SC_Loop 6'!$D$33</f>
        <v>0</v>
      </c>
      <c r="D41" s="120">
        <f>'SC_Loop 6'!$G$33</f>
        <v>0</v>
      </c>
      <c r="E41" s="128" t="str">
        <f>'SC_Loop 6'!$M$10</f>
        <v>OK</v>
      </c>
      <c r="F41" s="128" t="str">
        <f>'SC_Loop 6'!$M$11</f>
        <v>OK</v>
      </c>
      <c r="G41" s="100"/>
      <c r="I41" s="20"/>
      <c r="J41" s="21"/>
    </row>
    <row r="42" spans="1:10" s="7" customFormat="1" x14ac:dyDescent="0.25">
      <c r="A42" s="26" t="s">
        <v>43</v>
      </c>
      <c r="B42" s="26"/>
      <c r="C42" s="120">
        <f>'SC_Loop 7'!$D$33</f>
        <v>0</v>
      </c>
      <c r="D42" s="120">
        <f>'SC_Loop 7'!$G$33</f>
        <v>0</v>
      </c>
      <c r="E42" s="128" t="str">
        <f>'SC_Loop 7'!$M$10</f>
        <v>OK</v>
      </c>
      <c r="F42" s="128" t="str">
        <f>'SC_Loop 7'!$M$11</f>
        <v>OK</v>
      </c>
      <c r="G42" s="100"/>
      <c r="I42" s="20"/>
      <c r="J42" s="21"/>
    </row>
    <row r="43" spans="1:10" s="7" customFormat="1" x14ac:dyDescent="0.25">
      <c r="A43" s="26" t="s">
        <v>44</v>
      </c>
      <c r="B43" s="26"/>
      <c r="C43" s="120">
        <f>'SC_Loop 8'!$D$33</f>
        <v>0</v>
      </c>
      <c r="D43" s="120">
        <f>'SC_Loop 8'!$G$33</f>
        <v>0</v>
      </c>
      <c r="E43" s="128" t="str">
        <f>'SC_Loop 8'!$M$10</f>
        <v>OK</v>
      </c>
      <c r="F43" s="128" t="str">
        <f>'SC_Loop 8'!$M$11</f>
        <v>OK</v>
      </c>
      <c r="G43" s="100"/>
      <c r="I43" s="20"/>
      <c r="J43" s="21"/>
    </row>
    <row r="44" spans="1:10" s="7" customFormat="1" x14ac:dyDescent="0.25">
      <c r="A44" s="117" t="s">
        <v>21</v>
      </c>
      <c r="B44" s="117"/>
      <c r="C44" s="122">
        <f>SUM(C36:C43)</f>
        <v>0</v>
      </c>
      <c r="D44" s="122">
        <f>SUM(D36:D43)</f>
        <v>0</v>
      </c>
    </row>
    <row r="46" spans="1:10" ht="27" customHeight="1" x14ac:dyDescent="0.25">
      <c r="A46" s="133" t="s">
        <v>45</v>
      </c>
      <c r="B46" s="133"/>
      <c r="C46" s="133"/>
      <c r="D46" s="133"/>
      <c r="E46" s="133"/>
      <c r="F46" s="133"/>
      <c r="G46" s="133"/>
      <c r="H46" s="133"/>
      <c r="I46" s="133"/>
      <c r="J46" s="133"/>
    </row>
  </sheetData>
  <sheetProtection sheet="1" sort="0" autoFilter="0" pivotTables="0"/>
  <mergeCells count="2">
    <mergeCell ref="M20:N20"/>
    <mergeCell ref="A46:J46"/>
  </mergeCells>
  <phoneticPr fontId="9" type="noConversion"/>
  <conditionalFormatting sqref="B19">
    <cfRule type="cellIs" dxfId="150" priority="5" operator="greaterThan">
      <formula>1</formula>
    </cfRule>
  </conditionalFormatting>
  <conditionalFormatting sqref="B20">
    <cfRule type="cellIs" dxfId="149" priority="4" operator="greaterThan">
      <formula>3</formula>
    </cfRule>
  </conditionalFormatting>
  <conditionalFormatting sqref="B21">
    <cfRule type="cellIs" dxfId="148" priority="3" operator="greaterThan">
      <formula>4</formula>
    </cfRule>
  </conditionalFormatting>
  <conditionalFormatting sqref="B22">
    <cfRule type="cellIs" dxfId="147" priority="6" operator="greaterThan">
      <formula>1</formula>
    </cfRule>
  </conditionalFormatting>
  <conditionalFormatting sqref="B33">
    <cfRule type="cellIs" dxfId="146" priority="7" operator="equal">
      <formula>"FAIL"</formula>
    </cfRule>
  </conditionalFormatting>
  <conditionalFormatting sqref="C24">
    <cfRule type="cellIs" dxfId="145" priority="2" operator="greaterThan">
      <formula>4</formula>
    </cfRule>
  </conditionalFormatting>
  <conditionalFormatting sqref="D24">
    <cfRule type="cellIs" dxfId="144" priority="1" operator="greaterThan">
      <formula>5.5</formula>
    </cfRule>
  </conditionalFormatting>
  <pageMargins left="0.78740157480314965" right="0.39370078740157483" top="0.39370078740157483" bottom="0.39370078740157483" header="0" footer="0"/>
  <pageSetup paperSize="9" scale="59" orientation="portrait" horizontalDpi="1200" verticalDpi="1200" r:id="rId1"/>
  <headerFooter alignWithMargins="0">
    <oddHeader>&amp;L&amp;F&amp;R&amp;A</oddHeader>
    <oddFooter>&amp;L&amp;P / &amp;N&amp;R&amp;D &amp;T</oddFooter>
  </headerFooter>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94A1F718-B101-4F41-BECA-88FD8B54EF65}">
          <x14:formula1>
            <xm:f>Data!$A$17:$A$21</xm:f>
          </x14:formula1>
          <xm:sqref>C10</xm:sqref>
        </x14:dataValidation>
        <x14:dataValidation type="list" allowBlank="1" showInputMessage="1" showErrorMessage="1" xr:uid="{E2F72A04-4CDE-41E2-A76B-5A748022257C}">
          <x14:formula1>
            <xm:f>Data!$A$24:$A$27</xm:f>
          </x14:formula1>
          <xm:sqref>D10</xm:sqref>
        </x14:dataValidation>
        <x14:dataValidation type="list" allowBlank="1" showInputMessage="1" showErrorMessage="1" xr:uid="{79F4074A-8562-4EEE-8867-4FB660F70D96}">
          <x14:formula1>
            <xm:f>Data!$A$30</xm:f>
          </x14:formula1>
          <xm:sqref>A24 A13</xm:sqref>
        </x14:dataValidation>
        <x14:dataValidation type="list" allowBlank="1" showInputMessage="1" showErrorMessage="1" xr:uid="{ECBFF027-3D18-4E3A-BED0-55E68CB4BD81}">
          <x14:formula1>
            <xm:f>Data!$A$39:$A$44</xm:f>
          </x14:formula1>
          <xm:sqref>A30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1BC85-2AEA-41AA-B846-EB139684BDD8}">
  <sheetPr codeName="Hoja3">
    <pageSetUpPr fitToPage="1"/>
  </sheetPr>
  <dimension ref="A1:M77"/>
  <sheetViews>
    <sheetView topLeftCell="A6" zoomScale="94" zoomScaleNormal="94" workbookViewId="0">
      <selection activeCell="B10" sqref="B10"/>
    </sheetView>
  </sheetViews>
  <sheetFormatPr defaultColWidth="11.44140625" defaultRowHeight="13.2" x14ac:dyDescent="0.25"/>
  <cols>
    <col min="1" max="1" width="64.6640625" customWidth="1"/>
    <col min="2" max="2" width="10.6640625" customWidth="1"/>
    <col min="3" max="3" width="12.6640625" hidden="1" customWidth="1"/>
    <col min="4" max="4" width="12.6640625" customWidth="1"/>
    <col min="5" max="6" width="12.6640625" hidden="1" customWidth="1"/>
    <col min="7" max="7" width="10.5546875" customWidth="1"/>
    <col min="8" max="8" width="14.6640625" customWidth="1"/>
    <col min="9" max="12" width="6.6640625" customWidth="1"/>
    <col min="13" max="14" width="11.5546875" customWidth="1"/>
  </cols>
  <sheetData>
    <row r="1" spans="1:13" ht="15" customHeight="1" x14ac:dyDescent="0.25">
      <c r="C1" s="68" t="s">
        <v>46</v>
      </c>
      <c r="E1" s="68" t="s">
        <v>46</v>
      </c>
      <c r="F1" s="68" t="s">
        <v>46</v>
      </c>
      <c r="H1" s="1"/>
      <c r="I1" s="2"/>
      <c r="J1" s="2"/>
      <c r="K1" s="2"/>
      <c r="L1" s="2"/>
    </row>
    <row r="2" spans="1:13" ht="15" customHeight="1" x14ac:dyDescent="0.25">
      <c r="H2" s="1"/>
      <c r="I2" s="2"/>
      <c r="J2" s="2"/>
      <c r="K2" s="2"/>
      <c r="L2" s="2"/>
    </row>
    <row r="3" spans="1:13" ht="15" customHeight="1" x14ac:dyDescent="0.25">
      <c r="H3" s="1"/>
      <c r="I3" s="2"/>
      <c r="J3" s="2"/>
      <c r="K3" s="2"/>
      <c r="L3" s="2"/>
    </row>
    <row r="4" spans="1:13" ht="15" customHeight="1" x14ac:dyDescent="0.25">
      <c r="H4" s="1"/>
      <c r="I4" s="2"/>
      <c r="J4" s="2"/>
      <c r="K4" s="2"/>
      <c r="L4" s="2"/>
    </row>
    <row r="5" spans="1:13" ht="15" customHeight="1" x14ac:dyDescent="0.3">
      <c r="A5" s="3"/>
      <c r="H5" s="1"/>
      <c r="I5" s="2"/>
      <c r="J5" s="2"/>
      <c r="K5" s="2"/>
      <c r="L5" s="2"/>
    </row>
    <row r="6" spans="1:13" ht="15" customHeight="1" x14ac:dyDescent="0.3">
      <c r="A6" s="3"/>
      <c r="H6" s="1"/>
      <c r="I6" s="2"/>
      <c r="J6" s="2"/>
      <c r="K6" s="2"/>
      <c r="L6" s="2"/>
    </row>
    <row r="7" spans="1:13" s="7" customFormat="1" ht="13.8" thickBot="1" x14ac:dyDescent="0.3">
      <c r="A7" s="4" t="s">
        <v>0</v>
      </c>
      <c r="B7" s="4"/>
      <c r="C7" s="4"/>
      <c r="D7" s="4"/>
      <c r="E7" s="4"/>
      <c r="F7" s="4"/>
      <c r="G7" s="4"/>
      <c r="H7" s="6"/>
      <c r="I7" s="5"/>
      <c r="J7" s="5"/>
      <c r="K7" s="5"/>
      <c r="L7" s="5"/>
      <c r="M7" s="11" t="s">
        <v>1</v>
      </c>
    </row>
    <row r="8" spans="1:13" s="7" customFormat="1" ht="13.8" thickBot="1" x14ac:dyDescent="0.3">
      <c r="H8" s="19"/>
      <c r="I8" s="20"/>
      <c r="J8" s="20"/>
      <c r="K8" s="20"/>
      <c r="L8" s="20"/>
      <c r="M8" s="21"/>
    </row>
    <row r="9" spans="1:13" s="7" customFormat="1" ht="13.8" thickBot="1" x14ac:dyDescent="0.3">
      <c r="A9" s="13" t="s">
        <v>47</v>
      </c>
      <c r="B9" s="32"/>
      <c r="C9" s="32"/>
      <c r="D9" s="33"/>
      <c r="H9" s="19"/>
      <c r="K9" s="77" t="s">
        <v>48</v>
      </c>
      <c r="L9" s="78"/>
      <c r="M9" s="43"/>
    </row>
    <row r="10" spans="1:13" s="7" customFormat="1" ht="13.8" thickBot="1" x14ac:dyDescent="0.3">
      <c r="A10" s="30" t="s">
        <v>49</v>
      </c>
      <c r="B10" s="67">
        <v>1.5</v>
      </c>
      <c r="C10" s="22"/>
      <c r="D10" s="81">
        <f>VLOOKUP($B$10,Data!$A$9:$B$14,2,FALSE)</f>
        <v>16</v>
      </c>
      <c r="E10" s="82"/>
      <c r="F10" s="12"/>
      <c r="G10" s="100"/>
      <c r="H10" s="100"/>
      <c r="I10" s="100"/>
      <c r="J10" s="101"/>
      <c r="K10" s="134" t="s">
        <v>35</v>
      </c>
      <c r="L10" s="135"/>
      <c r="M10" s="56" t="str">
        <f>IF($B$47&gt;0.5,"FAIL",IF($B$69&gt;=$B$47,"OK","FAIL"))</f>
        <v>OK</v>
      </c>
    </row>
    <row r="11" spans="1:13" s="7" customFormat="1" ht="13.8" thickBot="1" x14ac:dyDescent="0.3">
      <c r="A11" s="16" t="s">
        <v>50</v>
      </c>
      <c r="B11" s="130">
        <v>500</v>
      </c>
      <c r="C11" s="66"/>
      <c r="D11" s="18" t="s">
        <v>51</v>
      </c>
      <c r="E11" s="12"/>
      <c r="F11" s="12"/>
      <c r="G11" s="100"/>
      <c r="H11" s="100"/>
      <c r="I11" s="100"/>
      <c r="J11" s="101"/>
      <c r="K11" s="136" t="s">
        <v>36</v>
      </c>
      <c r="L11" s="137"/>
      <c r="M11" s="55" t="str">
        <f>IF($M$33&lt;=200,"OK","FAIL")</f>
        <v>OK</v>
      </c>
    </row>
    <row r="12" spans="1:13" s="7" customFormat="1" ht="15.6" x14ac:dyDescent="0.25">
      <c r="A12" s="50" t="s">
        <v>52</v>
      </c>
      <c r="D12" s="51" t="str">
        <f>IF(B11&gt;3500,"Error: The Maximum Lenght in the Line is 3500 m","")</f>
        <v/>
      </c>
      <c r="H12" s="19"/>
      <c r="I12" s="20"/>
      <c r="J12" s="20"/>
      <c r="K12" s="20"/>
      <c r="L12" s="21"/>
    </row>
    <row r="13" spans="1:13" s="7" customFormat="1" x14ac:dyDescent="0.25">
      <c r="A13" s="50"/>
      <c r="D13" s="51" t="str">
        <f>IF($B$47&gt;0.5,"Error: The Loop Current is upper that Maximum Current allowed",IF($B$69&lt;$B$47,"Error: The Loop Current is upper that Maximum Current allowed",""))</f>
        <v/>
      </c>
      <c r="H13" s="19"/>
      <c r="I13" s="20"/>
      <c r="J13" s="20"/>
      <c r="K13" s="20"/>
      <c r="L13" s="21"/>
    </row>
    <row r="14" spans="1:13" s="7" customFormat="1" x14ac:dyDescent="0.25">
      <c r="A14" s="50"/>
      <c r="D14" s="51" t="str">
        <f>IF($M$33&gt;250,"Error: The Loop cannot contain more than 200 addresses","")</f>
        <v/>
      </c>
      <c r="H14" s="19"/>
      <c r="I14" s="20"/>
      <c r="J14" s="20"/>
      <c r="K14" s="20"/>
      <c r="L14" s="21"/>
    </row>
    <row r="15" spans="1:13" s="7" customFormat="1" x14ac:dyDescent="0.25">
      <c r="A15" s="50"/>
      <c r="H15" s="19"/>
      <c r="I15" s="20"/>
      <c r="J15" s="20"/>
      <c r="K15" s="20"/>
      <c r="L15" s="21"/>
    </row>
    <row r="16" spans="1:13" ht="13.8" thickBot="1" x14ac:dyDescent="0.3">
      <c r="B16" s="10" t="s">
        <v>53</v>
      </c>
      <c r="C16" s="10" t="s">
        <v>53</v>
      </c>
    </row>
    <row r="17" spans="1:13" ht="13.8" thickBot="1" x14ac:dyDescent="0.3">
      <c r="A17" s="8" t="s">
        <v>54</v>
      </c>
      <c r="B17" s="9"/>
      <c r="C17" s="9"/>
      <c r="D17" s="9"/>
      <c r="E17" s="9"/>
      <c r="F17" s="9"/>
      <c r="G17" s="9"/>
      <c r="H17" s="48"/>
      <c r="I17" s="48"/>
      <c r="J17" s="48"/>
      <c r="K17" s="48"/>
      <c r="L17" s="48"/>
      <c r="M17" s="49"/>
    </row>
    <row r="18" spans="1:13" s="7" customFormat="1" ht="13.8" thickBot="1" x14ac:dyDescent="0.3">
      <c r="A18" s="46" t="s">
        <v>55</v>
      </c>
      <c r="B18" s="47" t="s">
        <v>12</v>
      </c>
      <c r="C18" s="47" t="s">
        <v>7</v>
      </c>
      <c r="D18" s="47" t="s">
        <v>7</v>
      </c>
      <c r="E18" s="47" t="s">
        <v>56</v>
      </c>
      <c r="F18" s="47" t="s">
        <v>8</v>
      </c>
      <c r="G18" s="47" t="s">
        <v>8</v>
      </c>
      <c r="H18" s="47" t="s">
        <v>57</v>
      </c>
      <c r="I18" s="87" t="s">
        <v>58</v>
      </c>
      <c r="J18" s="87" t="s">
        <v>59</v>
      </c>
      <c r="K18" s="87" t="s">
        <v>60</v>
      </c>
      <c r="L18" s="87" t="s">
        <v>61</v>
      </c>
      <c r="M18" s="88" t="s">
        <v>62</v>
      </c>
    </row>
    <row r="19" spans="1:13" x14ac:dyDescent="0.25">
      <c r="A19" s="30" t="s">
        <v>63</v>
      </c>
      <c r="B19" s="98">
        <v>0</v>
      </c>
      <c r="C19" s="64">
        <f>0.3/1000</f>
        <v>2.9999999999999997E-4</v>
      </c>
      <c r="D19" s="72">
        <f>B19*C19</f>
        <v>0</v>
      </c>
      <c r="E19" s="83">
        <f>B19</f>
        <v>0</v>
      </c>
      <c r="F19" s="64">
        <f t="shared" ref="F19:F24" si="0">1/1000</f>
        <v>1E-3</v>
      </c>
      <c r="G19" s="72">
        <f>E19*F19</f>
        <v>0</v>
      </c>
      <c r="H19" s="25"/>
      <c r="I19" s="79"/>
      <c r="J19" s="79"/>
      <c r="K19" s="89" t="str">
        <f>IF(B19&lt;&gt;0,B19," ")</f>
        <v xml:space="preserve"> </v>
      </c>
      <c r="L19" s="79"/>
      <c r="M19" s="90" t="str">
        <f>IF(K19&lt;&gt;0,K19," ")</f>
        <v xml:space="preserve"> </v>
      </c>
    </row>
    <row r="20" spans="1:13" x14ac:dyDescent="0.25">
      <c r="A20" s="30" t="s">
        <v>64</v>
      </c>
      <c r="B20" s="98">
        <v>0</v>
      </c>
      <c r="C20" s="14">
        <v>2.9999999999999997E-4</v>
      </c>
      <c r="D20" s="72">
        <f t="shared" ref="D20:D32" si="1">B20*C20</f>
        <v>0</v>
      </c>
      <c r="E20" s="83">
        <f t="shared" ref="E20:E32" si="2">B20</f>
        <v>0</v>
      </c>
      <c r="F20" s="14">
        <f t="shared" si="0"/>
        <v>1E-3</v>
      </c>
      <c r="G20" s="72">
        <f t="shared" ref="G20:G32" si="3">E20*F20</f>
        <v>0</v>
      </c>
      <c r="H20" s="27"/>
      <c r="I20" s="79"/>
      <c r="J20" s="89" t="str">
        <f>IF(B20&lt;&gt;0,B20," ")</f>
        <v xml:space="preserve"> </v>
      </c>
      <c r="K20" s="91"/>
      <c r="L20" s="91"/>
      <c r="M20" s="90" t="str">
        <f>IF(J20&lt;&gt;0,J20," ")</f>
        <v xml:space="preserve"> </v>
      </c>
    </row>
    <row r="21" spans="1:13" x14ac:dyDescent="0.25">
      <c r="A21" s="15" t="s">
        <v>65</v>
      </c>
      <c r="B21" s="98">
        <v>0</v>
      </c>
      <c r="C21" s="14">
        <v>2.9999999999999997E-4</v>
      </c>
      <c r="D21" s="72">
        <f t="shared" si="1"/>
        <v>0</v>
      </c>
      <c r="E21" s="83">
        <f t="shared" si="2"/>
        <v>0</v>
      </c>
      <c r="F21" s="14">
        <f t="shared" si="0"/>
        <v>1E-3</v>
      </c>
      <c r="G21" s="72">
        <f t="shared" si="3"/>
        <v>0</v>
      </c>
      <c r="H21" s="27"/>
      <c r="I21" s="79"/>
      <c r="J21" s="89" t="str">
        <f>IF(B21&lt;&gt;0,B21," ")</f>
        <v xml:space="preserve"> </v>
      </c>
      <c r="K21" s="91"/>
      <c r="L21" s="91"/>
      <c r="M21" s="90" t="str">
        <f>IF(J21&lt;&gt;0,J21," ")</f>
        <v xml:space="preserve"> </v>
      </c>
    </row>
    <row r="22" spans="1:13" x14ac:dyDescent="0.25">
      <c r="A22" s="15" t="s">
        <v>66</v>
      </c>
      <c r="B22" s="98">
        <v>0</v>
      </c>
      <c r="C22" s="14">
        <v>2.9999999999999997E-4</v>
      </c>
      <c r="D22" s="72">
        <f t="shared" si="1"/>
        <v>0</v>
      </c>
      <c r="E22" s="83">
        <f t="shared" si="2"/>
        <v>0</v>
      </c>
      <c r="F22" s="14">
        <f t="shared" si="0"/>
        <v>1E-3</v>
      </c>
      <c r="G22" s="72">
        <f t="shared" si="3"/>
        <v>0</v>
      </c>
      <c r="H22" s="27"/>
      <c r="I22" s="79"/>
      <c r="J22" s="89" t="str">
        <f>IF(B22&lt;&gt;0,B22," ")</f>
        <v xml:space="preserve"> </v>
      </c>
      <c r="K22" s="91"/>
      <c r="L22" s="91"/>
      <c r="M22" s="90" t="str">
        <f>IF(J22&lt;&gt;0,J22," ")</f>
        <v xml:space="preserve"> </v>
      </c>
    </row>
    <row r="23" spans="1:13" x14ac:dyDescent="0.25">
      <c r="A23" s="15" t="s">
        <v>67</v>
      </c>
      <c r="B23" s="98">
        <v>0</v>
      </c>
      <c r="C23" s="14">
        <f t="shared" ref="C23:C28" si="4">0.25/1000</f>
        <v>2.5000000000000001E-4</v>
      </c>
      <c r="D23" s="72">
        <f t="shared" si="1"/>
        <v>0</v>
      </c>
      <c r="E23" s="83">
        <f t="shared" si="2"/>
        <v>0</v>
      </c>
      <c r="F23" s="14">
        <f t="shared" si="0"/>
        <v>1E-3</v>
      </c>
      <c r="G23" s="72">
        <f t="shared" si="3"/>
        <v>0</v>
      </c>
      <c r="H23" s="27"/>
      <c r="I23" s="79"/>
      <c r="J23" s="91"/>
      <c r="K23" s="89" t="str">
        <f>IF(B23&lt;&gt;0,B23," ")</f>
        <v xml:space="preserve"> </v>
      </c>
      <c r="L23" s="91"/>
      <c r="M23" s="90" t="str">
        <f>IF(K23&lt;&gt;0,K23," ")</f>
        <v xml:space="preserve"> </v>
      </c>
    </row>
    <row r="24" spans="1:13" x14ac:dyDescent="0.25">
      <c r="A24" s="15" t="s">
        <v>68</v>
      </c>
      <c r="B24" s="98">
        <v>0</v>
      </c>
      <c r="C24" s="14">
        <f t="shared" si="4"/>
        <v>2.5000000000000001E-4</v>
      </c>
      <c r="D24" s="72">
        <f t="shared" si="1"/>
        <v>0</v>
      </c>
      <c r="E24" s="83">
        <f t="shared" si="2"/>
        <v>0</v>
      </c>
      <c r="F24" s="14">
        <f t="shared" si="0"/>
        <v>1E-3</v>
      </c>
      <c r="G24" s="72">
        <f t="shared" si="3"/>
        <v>0</v>
      </c>
      <c r="H24" s="27"/>
      <c r="I24" s="79"/>
      <c r="J24" s="91"/>
      <c r="K24" s="89" t="str">
        <f>IF(B24&lt;&gt;0,B24," ")</f>
        <v xml:space="preserve"> </v>
      </c>
      <c r="L24" s="91"/>
      <c r="M24" s="90" t="str">
        <f>IF(K24&lt;&gt;0,K24," ")</f>
        <v xml:space="preserve"> </v>
      </c>
    </row>
    <row r="25" spans="1:13" x14ac:dyDescent="0.25">
      <c r="A25" s="15" t="s">
        <v>69</v>
      </c>
      <c r="B25" s="98">
        <v>0</v>
      </c>
      <c r="C25" s="14">
        <f t="shared" si="4"/>
        <v>2.5000000000000001E-4</v>
      </c>
      <c r="D25" s="72">
        <f t="shared" si="1"/>
        <v>0</v>
      </c>
      <c r="E25" s="83">
        <f t="shared" si="2"/>
        <v>0</v>
      </c>
      <c r="F25" s="14">
        <f>0.25/1000</f>
        <v>2.5000000000000001E-4</v>
      </c>
      <c r="G25" s="72">
        <f t="shared" si="3"/>
        <v>0</v>
      </c>
      <c r="H25" s="27"/>
      <c r="I25" s="79"/>
      <c r="J25" s="91"/>
      <c r="K25" s="89" t="str">
        <f>IF(B25&lt;&gt;0,B25," ")</f>
        <v xml:space="preserve"> </v>
      </c>
      <c r="L25" s="91"/>
      <c r="M25" s="90" t="str">
        <f>IF(K25&lt;&gt;0,K25," ")</f>
        <v xml:space="preserve"> </v>
      </c>
    </row>
    <row r="26" spans="1:13" x14ac:dyDescent="0.25">
      <c r="A26" s="15" t="s">
        <v>70</v>
      </c>
      <c r="B26" s="98">
        <v>0</v>
      </c>
      <c r="C26" s="14">
        <f t="shared" si="4"/>
        <v>2.5000000000000001E-4</v>
      </c>
      <c r="D26" s="72">
        <f t="shared" si="1"/>
        <v>0</v>
      </c>
      <c r="E26" s="83">
        <f t="shared" si="2"/>
        <v>0</v>
      </c>
      <c r="F26" s="14">
        <f>0.25/1000</f>
        <v>2.5000000000000001E-4</v>
      </c>
      <c r="G26" s="72">
        <f t="shared" si="3"/>
        <v>0</v>
      </c>
      <c r="H26" s="73" t="str">
        <f>IF(B26*G26=0," ",G26)</f>
        <v xml:space="preserve"> </v>
      </c>
      <c r="I26" s="79"/>
      <c r="J26" s="91"/>
      <c r="K26" s="91"/>
      <c r="L26" s="89" t="str">
        <f>IF(B26&lt;&gt;0,B26," ")</f>
        <v xml:space="preserve"> </v>
      </c>
      <c r="M26" s="90" t="str">
        <f>IF(L26&lt;&gt;0,L26," ")</f>
        <v xml:space="preserve"> </v>
      </c>
    </row>
    <row r="27" spans="1:13" x14ac:dyDescent="0.25">
      <c r="A27" s="15" t="s">
        <v>71</v>
      </c>
      <c r="B27" s="98">
        <v>0</v>
      </c>
      <c r="C27" s="14">
        <f t="shared" si="4"/>
        <v>2.5000000000000001E-4</v>
      </c>
      <c r="D27" s="72">
        <f t="shared" si="1"/>
        <v>0</v>
      </c>
      <c r="E27" s="83">
        <f t="shared" si="2"/>
        <v>0</v>
      </c>
      <c r="F27" s="14">
        <f>0.25/1000</f>
        <v>2.5000000000000001E-4</v>
      </c>
      <c r="G27" s="72">
        <f t="shared" si="3"/>
        <v>0</v>
      </c>
      <c r="H27" s="73" t="str">
        <f t="shared" ref="H27" si="5">IF(B27*G27=0," ",G27)</f>
        <v xml:space="preserve"> </v>
      </c>
      <c r="I27" s="79"/>
      <c r="J27" s="91"/>
      <c r="K27" s="91"/>
      <c r="L27" s="89" t="str">
        <f>IF(B27&lt;&gt;0,B27," ")</f>
        <v xml:space="preserve"> </v>
      </c>
      <c r="M27" s="90" t="str">
        <f>IF(L27&lt;&gt;0,L27," ")</f>
        <v xml:space="preserve"> </v>
      </c>
    </row>
    <row r="28" spans="1:13" x14ac:dyDescent="0.25">
      <c r="A28" s="15" t="s">
        <v>72</v>
      </c>
      <c r="B28" s="98">
        <v>0</v>
      </c>
      <c r="C28" s="14">
        <f t="shared" si="4"/>
        <v>2.5000000000000001E-4</v>
      </c>
      <c r="D28" s="72">
        <f t="shared" ref="D28:D29" si="6">B28*C28</f>
        <v>0</v>
      </c>
      <c r="E28" s="83">
        <f t="shared" si="2"/>
        <v>0</v>
      </c>
      <c r="F28" s="14">
        <f>10/1000</f>
        <v>0.01</v>
      </c>
      <c r="G28" s="72">
        <f t="shared" ref="G28:G29" si="7">E28*F28</f>
        <v>0</v>
      </c>
      <c r="H28" s="73" t="str">
        <f t="shared" ref="H28" si="8">IF(B28*G28=0," ",G28)</f>
        <v xml:space="preserve"> </v>
      </c>
      <c r="I28" s="79"/>
      <c r="J28" s="91"/>
      <c r="K28" s="91"/>
      <c r="L28" s="89" t="str">
        <f>IF(B28&lt;&gt;0,B28," ")</f>
        <v xml:space="preserve"> </v>
      </c>
      <c r="M28" s="90" t="str">
        <f>IF(L28&lt;&gt;0,L28," ")</f>
        <v xml:space="preserve"> </v>
      </c>
    </row>
    <row r="29" spans="1:13" x14ac:dyDescent="0.25">
      <c r="A29" s="15" t="s">
        <v>73</v>
      </c>
      <c r="B29" s="98">
        <v>0</v>
      </c>
      <c r="C29" s="14">
        <f>9/1000</f>
        <v>8.9999999999999993E-3</v>
      </c>
      <c r="D29" s="72">
        <f t="shared" si="6"/>
        <v>0</v>
      </c>
      <c r="E29" s="83">
        <f t="shared" si="2"/>
        <v>0</v>
      </c>
      <c r="F29" s="14">
        <f>46/1000</f>
        <v>4.5999999999999999E-2</v>
      </c>
      <c r="G29" s="72">
        <f t="shared" si="7"/>
        <v>0</v>
      </c>
      <c r="H29" s="27"/>
      <c r="I29" s="79"/>
      <c r="J29" s="91"/>
      <c r="K29" s="89" t="str">
        <f>IF(B29&lt;&gt;0,B29," ")</f>
        <v xml:space="preserve"> </v>
      </c>
      <c r="L29" s="91"/>
      <c r="M29" s="90" t="str">
        <f>IF(K29&lt;&gt;0,K29," ")</f>
        <v xml:space="preserve"> </v>
      </c>
    </row>
    <row r="30" spans="1:13" x14ac:dyDescent="0.25">
      <c r="A30" s="15" t="s">
        <v>74</v>
      </c>
      <c r="B30" s="98">
        <v>0</v>
      </c>
      <c r="C30" s="14">
        <f>2/1000</f>
        <v>2E-3</v>
      </c>
      <c r="D30" s="72">
        <f t="shared" si="1"/>
        <v>0</v>
      </c>
      <c r="E30" s="83">
        <f t="shared" si="2"/>
        <v>0</v>
      </c>
      <c r="F30" s="14">
        <f>2/1000</f>
        <v>2E-3</v>
      </c>
      <c r="G30" s="72">
        <f t="shared" si="3"/>
        <v>0</v>
      </c>
      <c r="H30" s="27"/>
      <c r="I30" s="79"/>
      <c r="J30" s="91"/>
      <c r="K30" s="89" t="str">
        <f>IF(B30&lt;&gt;0,B30," ")</f>
        <v xml:space="preserve"> </v>
      </c>
      <c r="L30" s="91"/>
      <c r="M30" s="90" t="str">
        <f>IF(K30&lt;&gt;0,K30," ")</f>
        <v xml:space="preserve"> </v>
      </c>
    </row>
    <row r="31" spans="1:13" x14ac:dyDescent="0.25">
      <c r="A31" s="15" t="s">
        <v>75</v>
      </c>
      <c r="B31" s="98">
        <v>0</v>
      </c>
      <c r="C31" s="14">
        <f>0.25/1000</f>
        <v>2.5000000000000001E-4</v>
      </c>
      <c r="D31" s="72">
        <f t="shared" si="1"/>
        <v>0</v>
      </c>
      <c r="E31" s="83">
        <f t="shared" si="2"/>
        <v>0</v>
      </c>
      <c r="F31" s="14">
        <f>0.25/1000</f>
        <v>2.5000000000000001E-4</v>
      </c>
      <c r="G31" s="72">
        <f t="shared" si="3"/>
        <v>0</v>
      </c>
      <c r="H31" s="27"/>
      <c r="I31" s="89" t="str">
        <f>IF(B30&lt;&gt;0,B30," ")</f>
        <v xml:space="preserve"> </v>
      </c>
      <c r="J31" s="91"/>
      <c r="K31" s="91"/>
      <c r="L31" s="91"/>
      <c r="M31" s="92"/>
    </row>
    <row r="32" spans="1:13" ht="13.8" thickBot="1" x14ac:dyDescent="0.3">
      <c r="A32" s="15" t="s">
        <v>76</v>
      </c>
      <c r="B32" s="98">
        <v>0</v>
      </c>
      <c r="C32" s="14">
        <v>6.2500000000000001E-4</v>
      </c>
      <c r="D32" s="72">
        <f t="shared" si="1"/>
        <v>0</v>
      </c>
      <c r="E32" s="83">
        <f t="shared" si="2"/>
        <v>0</v>
      </c>
      <c r="F32" s="65">
        <f>8/1000</f>
        <v>8.0000000000000002E-3</v>
      </c>
      <c r="G32" s="72">
        <f t="shared" si="3"/>
        <v>0</v>
      </c>
      <c r="H32" s="24"/>
      <c r="I32" s="79"/>
      <c r="J32" s="93"/>
      <c r="K32" s="93"/>
      <c r="L32" s="94"/>
      <c r="M32" s="95"/>
    </row>
    <row r="33" spans="1:13" s="7" customFormat="1" ht="13.8" thickBot="1" x14ac:dyDescent="0.3">
      <c r="A33" s="13" t="s">
        <v>77</v>
      </c>
      <c r="B33" s="96">
        <f>SUM(B19:B32)</f>
        <v>0</v>
      </c>
      <c r="C33" s="70"/>
      <c r="D33" s="69">
        <f>SUM(D19:D32)</f>
        <v>0</v>
      </c>
      <c r="E33" s="69">
        <f>SUM(E19:E31)</f>
        <v>0</v>
      </c>
      <c r="F33" s="69"/>
      <c r="G33" s="69">
        <f t="shared" ref="G33:M33" si="9">SUM(G19:G32)</f>
        <v>0</v>
      </c>
      <c r="H33" s="69">
        <f t="shared" si="9"/>
        <v>0</v>
      </c>
      <c r="I33" s="96">
        <f>SUM(I19:I32)</f>
        <v>0</v>
      </c>
      <c r="J33" s="96">
        <f t="shared" si="9"/>
        <v>0</v>
      </c>
      <c r="K33" s="96">
        <f t="shared" si="9"/>
        <v>0</v>
      </c>
      <c r="L33" s="96">
        <f t="shared" si="9"/>
        <v>0</v>
      </c>
      <c r="M33" s="97">
        <f t="shared" si="9"/>
        <v>0</v>
      </c>
    </row>
    <row r="34" spans="1:13" s="7" customFormat="1" x14ac:dyDescent="0.25">
      <c r="B34" s="34"/>
      <c r="C34" s="35"/>
      <c r="D34" s="51" t="str">
        <f>IF(M33&gt;200,"Error: The Loop cannot contain more than 200 addresses","")</f>
        <v/>
      </c>
      <c r="E34" s="37"/>
      <c r="F34" s="36"/>
      <c r="G34" s="36"/>
      <c r="H34" s="36"/>
      <c r="I34" s="36"/>
      <c r="J34" s="36"/>
      <c r="K34" s="34"/>
      <c r="L34" s="34"/>
    </row>
    <row r="35" spans="1:13" s="7" customFormat="1" x14ac:dyDescent="0.25">
      <c r="A35" s="50"/>
      <c r="D35" s="51" t="str">
        <f>IF(B28&gt;30,"Error: The Loop cannot contain more than 30 Loop Sounders in 1.000 meters","")</f>
        <v/>
      </c>
      <c r="H35" s="19"/>
      <c r="I35" s="20"/>
      <c r="J35" s="20"/>
      <c r="K35" s="20"/>
      <c r="L35" s="21"/>
    </row>
    <row r="36" spans="1:13" s="7" customFormat="1" x14ac:dyDescent="0.25">
      <c r="A36" s="50"/>
      <c r="D36" s="51" t="str">
        <f>IF(AND(B11&gt;1000,B28&gt;19),"Error: The Loop cannot contain more than 19 Loop Sounders in 2.000 meters","")</f>
        <v/>
      </c>
      <c r="H36" s="19"/>
      <c r="I36" s="20"/>
      <c r="J36" s="20"/>
      <c r="K36" s="20"/>
      <c r="L36" s="21"/>
    </row>
    <row r="37" spans="1:13" s="7" customFormat="1" x14ac:dyDescent="0.25">
      <c r="A37" s="50"/>
      <c r="D37" s="51" t="str">
        <f>IF(AND(B29&gt;6),"Error: The Loop cannot contain more than 6 Zone Modules Powered from the Loop","")</f>
        <v/>
      </c>
      <c r="H37" s="19"/>
      <c r="I37" s="20"/>
      <c r="J37" s="20"/>
      <c r="K37" s="20"/>
      <c r="L37" s="21"/>
    </row>
    <row r="38" spans="1:13" s="7" customFormat="1" x14ac:dyDescent="0.25">
      <c r="B38" s="34"/>
      <c r="C38" s="35"/>
      <c r="D38" s="71" t="str">
        <f>IF(OR(B25&gt;0,B27&gt;0,B30&gt;0),"Info: External 24V needed. EN 54-4 certificate."," ")</f>
        <v xml:space="preserve"> </v>
      </c>
      <c r="E38" s="37"/>
      <c r="F38" s="36"/>
      <c r="G38" s="36"/>
      <c r="H38" s="36"/>
      <c r="I38" s="36"/>
      <c r="J38" s="36"/>
      <c r="K38" s="34"/>
      <c r="L38" s="34"/>
    </row>
    <row r="39" spans="1:13" s="7" customFormat="1" x14ac:dyDescent="0.25">
      <c r="B39" s="34"/>
      <c r="C39" s="35"/>
      <c r="D39" s="71" t="str">
        <f>IF(OR(B25&gt;0,B27&gt;0,B30&gt;0),"        Control Panel could provide from 24Vaux,"," ")</f>
        <v xml:space="preserve"> </v>
      </c>
      <c r="E39" s="37"/>
      <c r="F39" s="36"/>
      <c r="G39" s="36"/>
      <c r="H39" s="36"/>
      <c r="I39" s="36"/>
      <c r="J39" s="36"/>
      <c r="K39" s="34"/>
      <c r="L39" s="34"/>
    </row>
    <row r="40" spans="1:13" s="7" customFormat="1" x14ac:dyDescent="0.25">
      <c r="B40" s="34"/>
      <c r="C40" s="35"/>
      <c r="D40" s="71" t="str">
        <f>IF(OR(B25&gt;0,B27&gt;0,B30&gt;0),"         if 2A maximum current isn't exceeded."," ")</f>
        <v xml:space="preserve"> </v>
      </c>
      <c r="E40" s="37"/>
      <c r="F40" s="36"/>
      <c r="G40" s="36"/>
      <c r="H40" s="36"/>
      <c r="I40" s="36"/>
      <c r="J40" s="36"/>
      <c r="K40" s="34"/>
      <c r="L40" s="34"/>
    </row>
    <row r="41" spans="1:13" ht="14.4" customHeight="1" thickBot="1" x14ac:dyDescent="0.3">
      <c r="E41" s="17"/>
      <c r="K41" s="51"/>
    </row>
    <row r="42" spans="1:13" ht="14.4" customHeight="1" thickBot="1" x14ac:dyDescent="0.3">
      <c r="A42" s="13" t="s">
        <v>78</v>
      </c>
      <c r="B42" s="41"/>
      <c r="C42" s="41"/>
      <c r="D42" s="42"/>
      <c r="E42" s="17"/>
    </row>
    <row r="43" spans="1:13" ht="14.4" customHeight="1" x14ac:dyDescent="0.25">
      <c r="A43" s="30" t="s">
        <v>79</v>
      </c>
      <c r="B43" s="45">
        <v>1.72E-2</v>
      </c>
      <c r="C43" s="25"/>
      <c r="D43" s="31" t="s">
        <v>80</v>
      </c>
      <c r="E43" s="17"/>
    </row>
    <row r="44" spans="1:13" ht="14.4" customHeight="1" x14ac:dyDescent="0.25">
      <c r="A44" s="15" t="s">
        <v>81</v>
      </c>
      <c r="B44" s="74">
        <f>D33</f>
        <v>0</v>
      </c>
      <c r="C44" s="27"/>
      <c r="D44" s="29" t="s">
        <v>82</v>
      </c>
      <c r="E44" s="17"/>
    </row>
    <row r="45" spans="1:13" ht="14.4" customHeight="1" x14ac:dyDescent="0.25">
      <c r="A45" s="15" t="s">
        <v>83</v>
      </c>
      <c r="B45" s="74">
        <f>G33-H33</f>
        <v>0</v>
      </c>
      <c r="C45" s="27"/>
      <c r="D45" s="29" t="s">
        <v>82</v>
      </c>
      <c r="E45" s="17"/>
    </row>
    <row r="46" spans="1:13" ht="14.4" customHeight="1" x14ac:dyDescent="0.25">
      <c r="A46" s="15" t="s">
        <v>84</v>
      </c>
      <c r="B46" s="74">
        <f>H33</f>
        <v>0</v>
      </c>
      <c r="C46" s="27"/>
      <c r="D46" s="29" t="s">
        <v>82</v>
      </c>
      <c r="E46" s="17"/>
    </row>
    <row r="47" spans="1:13" ht="14.4" customHeight="1" x14ac:dyDescent="0.25">
      <c r="A47" s="15" t="s">
        <v>21</v>
      </c>
      <c r="B47" s="74">
        <f>SUM(B44:B46)</f>
        <v>0</v>
      </c>
      <c r="C47" s="27"/>
      <c r="D47" s="29" t="s">
        <v>82</v>
      </c>
      <c r="E47" s="17"/>
    </row>
    <row r="48" spans="1:13" ht="14.4" customHeight="1" thickBot="1" x14ac:dyDescent="0.3">
      <c r="A48" s="16" t="s">
        <v>85</v>
      </c>
      <c r="B48" s="39">
        <v>6.9</v>
      </c>
      <c r="C48" s="39"/>
      <c r="D48" s="18" t="s">
        <v>86</v>
      </c>
      <c r="E48" s="17"/>
    </row>
    <row r="49" spans="1:12" ht="14.4" customHeight="1" thickBot="1" x14ac:dyDescent="0.3">
      <c r="A49" s="12"/>
      <c r="E49" s="17"/>
    </row>
    <row r="50" spans="1:12" ht="14.4" customHeight="1" thickBot="1" x14ac:dyDescent="0.3">
      <c r="A50" s="8" t="s">
        <v>87</v>
      </c>
      <c r="B50" s="48"/>
      <c r="C50" s="48"/>
      <c r="D50" s="48"/>
      <c r="E50" s="84"/>
      <c r="F50" s="48"/>
      <c r="G50" s="48"/>
      <c r="H50" s="48"/>
      <c r="I50" s="48"/>
      <c r="J50" s="48"/>
      <c r="K50" s="49"/>
      <c r="L50" s="52"/>
    </row>
    <row r="51" spans="1:12" ht="14.4" customHeight="1" x14ac:dyDescent="0.25">
      <c r="A51" s="62" t="s">
        <v>88</v>
      </c>
      <c r="B51" s="79">
        <v>1000</v>
      </c>
      <c r="C51" s="79"/>
      <c r="D51" s="79">
        <v>1500</v>
      </c>
      <c r="E51" s="85"/>
      <c r="F51" s="79"/>
      <c r="G51" s="79">
        <v>2000</v>
      </c>
      <c r="H51" s="79">
        <v>2500</v>
      </c>
      <c r="I51" s="79">
        <v>3000</v>
      </c>
      <c r="J51" s="80">
        <v>3500</v>
      </c>
      <c r="K51" s="53" t="s">
        <v>89</v>
      </c>
    </row>
    <row r="52" spans="1:12" ht="14.4" customHeight="1" x14ac:dyDescent="0.25">
      <c r="A52" s="26" t="s">
        <v>90</v>
      </c>
      <c r="B52" s="75">
        <f>((($B$43*B51)/B54)*2)</f>
        <v>68.8</v>
      </c>
      <c r="C52" s="75">
        <f t="shared" ref="C52:J52" si="10">((($B$43*C51)/C54)*2)</f>
        <v>0</v>
      </c>
      <c r="D52" s="75">
        <f t="shared" si="10"/>
        <v>103.2</v>
      </c>
      <c r="E52" s="75">
        <f t="shared" si="10"/>
        <v>0</v>
      </c>
      <c r="F52" s="75">
        <f t="shared" si="10"/>
        <v>0</v>
      </c>
      <c r="G52" s="75">
        <f t="shared" si="10"/>
        <v>137.6</v>
      </c>
      <c r="H52" s="75">
        <f t="shared" si="10"/>
        <v>172</v>
      </c>
      <c r="I52" s="75">
        <f t="shared" si="10"/>
        <v>206.4</v>
      </c>
      <c r="J52" s="75">
        <f t="shared" si="10"/>
        <v>240.8</v>
      </c>
      <c r="K52" s="54" t="s">
        <v>91</v>
      </c>
    </row>
    <row r="53" spans="1:12" ht="14.4" customHeight="1" thickBot="1" x14ac:dyDescent="0.3">
      <c r="A53" s="61" t="s">
        <v>92</v>
      </c>
      <c r="B53" s="75">
        <f>B52/2</f>
        <v>34.4</v>
      </c>
      <c r="C53" s="75">
        <f t="shared" ref="C53:J53" si="11">C52/2</f>
        <v>0</v>
      </c>
      <c r="D53" s="75">
        <f t="shared" si="11"/>
        <v>51.6</v>
      </c>
      <c r="E53" s="75">
        <f t="shared" si="11"/>
        <v>0</v>
      </c>
      <c r="F53" s="75">
        <f t="shared" si="11"/>
        <v>0</v>
      </c>
      <c r="G53" s="75">
        <f t="shared" si="11"/>
        <v>68.8</v>
      </c>
      <c r="H53" s="75">
        <f t="shared" si="11"/>
        <v>86</v>
      </c>
      <c r="I53" s="75">
        <f t="shared" si="11"/>
        <v>103.2</v>
      </c>
      <c r="J53" s="75">
        <f t="shared" si="11"/>
        <v>120.4</v>
      </c>
      <c r="K53" s="60" t="s">
        <v>91</v>
      </c>
    </row>
    <row r="54" spans="1:12" ht="14.4" customHeight="1" thickBot="1" x14ac:dyDescent="0.3">
      <c r="A54" s="13" t="s">
        <v>93</v>
      </c>
      <c r="B54" s="63">
        <f>IF(IFERROR((($B$43*B$51)/(($B$48)/$B$47)),0)&lt;0.5,0.5,IFERROR((($B$43*B$51)/(($B$48)/$B$47)),0))</f>
        <v>0.5</v>
      </c>
      <c r="C54" s="63">
        <f t="shared" ref="C54:J54" si="12">IF(IFERROR((($B$43*C$51)/(($B$48)/$B$47)),0)&lt;0.5,0.5,IFERROR((($B$43*C$51)/(($B$48)/$B$47)),0))</f>
        <v>0.5</v>
      </c>
      <c r="D54" s="63">
        <f t="shared" si="12"/>
        <v>0.5</v>
      </c>
      <c r="E54" s="63">
        <f t="shared" si="12"/>
        <v>0.5</v>
      </c>
      <c r="F54" s="63">
        <f t="shared" si="12"/>
        <v>0.5</v>
      </c>
      <c r="G54" s="63">
        <f t="shared" si="12"/>
        <v>0.5</v>
      </c>
      <c r="H54" s="63">
        <f t="shared" si="12"/>
        <v>0.5</v>
      </c>
      <c r="I54" s="63">
        <f t="shared" si="12"/>
        <v>0.5</v>
      </c>
      <c r="J54" s="63">
        <f t="shared" si="12"/>
        <v>0.5</v>
      </c>
      <c r="K54" s="28" t="s">
        <v>94</v>
      </c>
    </row>
    <row r="55" spans="1:12" ht="14.4" customHeight="1" x14ac:dyDescent="0.25">
      <c r="A55" s="12"/>
      <c r="B55" s="52" t="s">
        <v>95</v>
      </c>
      <c r="D55" s="52"/>
      <c r="E55" s="17"/>
    </row>
    <row r="56" spans="1:12" ht="14.4" customHeight="1" thickBot="1" x14ac:dyDescent="0.3">
      <c r="A56" s="12"/>
      <c r="E56" s="17"/>
    </row>
    <row r="57" spans="1:12" ht="14.4" customHeight="1" thickBot="1" x14ac:dyDescent="0.3">
      <c r="A57" s="8" t="s">
        <v>96</v>
      </c>
      <c r="B57" s="48"/>
      <c r="C57" s="48"/>
      <c r="D57" s="48"/>
      <c r="E57" s="84"/>
      <c r="F57" s="48"/>
      <c r="G57" s="48"/>
      <c r="H57" s="48"/>
      <c r="I57" s="48"/>
      <c r="J57" s="48"/>
      <c r="K57" s="49"/>
      <c r="L57" s="52"/>
    </row>
    <row r="58" spans="1:12" ht="14.4" customHeight="1" x14ac:dyDescent="0.25">
      <c r="A58" s="53" t="s">
        <v>97</v>
      </c>
      <c r="B58" s="23">
        <v>0.5</v>
      </c>
      <c r="C58" s="25"/>
      <c r="D58" s="25">
        <v>0.75</v>
      </c>
      <c r="E58" s="86"/>
      <c r="F58" s="25"/>
      <c r="G58" s="25">
        <v>1</v>
      </c>
      <c r="H58" s="25">
        <v>1.5</v>
      </c>
      <c r="I58" s="25">
        <v>2.5</v>
      </c>
      <c r="J58" s="58">
        <v>4</v>
      </c>
      <c r="K58" s="53" t="s">
        <v>98</v>
      </c>
    </row>
    <row r="59" spans="1:12" ht="14.4" customHeight="1" x14ac:dyDescent="0.25">
      <c r="A59" s="57" t="s">
        <v>90</v>
      </c>
      <c r="B59" s="75">
        <f t="shared" ref="B59" si="13">$B$43*B61/B58*2</f>
        <v>240.8</v>
      </c>
      <c r="C59" s="75" t="e">
        <f t="shared" ref="C59:J59" si="14">$B$43*C61/C58*2</f>
        <v>#DIV/0!</v>
      </c>
      <c r="D59" s="75">
        <f t="shared" si="14"/>
        <v>160.53333333333333</v>
      </c>
      <c r="E59" s="75" t="e">
        <f t="shared" si="14"/>
        <v>#DIV/0!</v>
      </c>
      <c r="F59" s="75" t="e">
        <f t="shared" si="14"/>
        <v>#DIV/0!</v>
      </c>
      <c r="G59" s="75">
        <f t="shared" si="14"/>
        <v>120.4</v>
      </c>
      <c r="H59" s="75">
        <f t="shared" si="14"/>
        <v>80.266666666666666</v>
      </c>
      <c r="I59" s="75">
        <f t="shared" si="14"/>
        <v>48.160000000000004</v>
      </c>
      <c r="J59" s="75">
        <f t="shared" si="14"/>
        <v>30.1</v>
      </c>
      <c r="K59" s="54" t="s">
        <v>91</v>
      </c>
    </row>
    <row r="60" spans="1:12" ht="14.4" customHeight="1" thickBot="1" x14ac:dyDescent="0.3">
      <c r="A60" s="59" t="s">
        <v>92</v>
      </c>
      <c r="B60" s="75">
        <f>B59/2</f>
        <v>120.4</v>
      </c>
      <c r="C60" s="75" t="e">
        <f t="shared" ref="C60:J60" si="15">C59/2</f>
        <v>#DIV/0!</v>
      </c>
      <c r="D60" s="75">
        <f t="shared" si="15"/>
        <v>80.266666666666666</v>
      </c>
      <c r="E60" s="75" t="e">
        <f t="shared" si="15"/>
        <v>#DIV/0!</v>
      </c>
      <c r="F60" s="75" t="e">
        <f t="shared" si="15"/>
        <v>#DIV/0!</v>
      </c>
      <c r="G60" s="75">
        <f t="shared" si="15"/>
        <v>60.2</v>
      </c>
      <c r="H60" s="75">
        <f t="shared" si="15"/>
        <v>40.133333333333333</v>
      </c>
      <c r="I60" s="75">
        <f t="shared" si="15"/>
        <v>24.080000000000002</v>
      </c>
      <c r="J60" s="75">
        <f t="shared" si="15"/>
        <v>15.05</v>
      </c>
      <c r="K60" s="60" t="s">
        <v>91</v>
      </c>
    </row>
    <row r="61" spans="1:12" ht="14.4" customHeight="1" thickBot="1" x14ac:dyDescent="0.3">
      <c r="A61" s="28" t="s">
        <v>99</v>
      </c>
      <c r="B61" s="63">
        <f>IF(IFERROR((((($B$48)/$B$47)*B$58)/$B$43),9999)&gt;3500,3500,IFERROR((((($B$48)/$B$47)*B$58)/$B$43),9999))</f>
        <v>3500</v>
      </c>
      <c r="C61" s="63">
        <f t="shared" ref="C61:J61" si="16">IF(IFERROR((((($B$48)/$B$47)*C$58)/$B$43),9999)&gt;3500,3500,IFERROR((((($B$48)/$B$47)*C$58)/$B$43),9999))</f>
        <v>3500</v>
      </c>
      <c r="D61" s="63">
        <f t="shared" si="16"/>
        <v>3500</v>
      </c>
      <c r="E61" s="63">
        <f t="shared" si="16"/>
        <v>3500</v>
      </c>
      <c r="F61" s="63">
        <f t="shared" si="16"/>
        <v>3500</v>
      </c>
      <c r="G61" s="63">
        <f t="shared" si="16"/>
        <v>3500</v>
      </c>
      <c r="H61" s="63">
        <f t="shared" si="16"/>
        <v>3500</v>
      </c>
      <c r="I61" s="63">
        <f t="shared" si="16"/>
        <v>3500</v>
      </c>
      <c r="J61" s="63">
        <f t="shared" si="16"/>
        <v>3500</v>
      </c>
      <c r="K61" s="28" t="s">
        <v>89</v>
      </c>
    </row>
    <row r="62" spans="1:12" ht="14.4" customHeight="1" x14ac:dyDescent="0.25">
      <c r="A62" s="12"/>
      <c r="B62" s="52" t="s">
        <v>100</v>
      </c>
      <c r="D62" s="52"/>
      <c r="E62" s="17"/>
    </row>
    <row r="63" spans="1:12" ht="14.4" customHeight="1" thickBot="1" x14ac:dyDescent="0.3">
      <c r="A63" s="12"/>
      <c r="E63" s="17"/>
    </row>
    <row r="64" spans="1:12" ht="14.4" customHeight="1" thickBot="1" x14ac:dyDescent="0.3">
      <c r="A64" s="8" t="s">
        <v>101</v>
      </c>
      <c r="B64" s="48"/>
      <c r="C64" s="48"/>
      <c r="D64" s="49"/>
      <c r="E64" s="17"/>
    </row>
    <row r="65" spans="1:12" ht="14.4" customHeight="1" x14ac:dyDescent="0.25">
      <c r="A65" s="30" t="s">
        <v>102</v>
      </c>
      <c r="B65" s="76">
        <f>$B$10</f>
        <v>1.5</v>
      </c>
      <c r="C65" s="25"/>
      <c r="D65" s="31" t="s">
        <v>98</v>
      </c>
      <c r="E65" s="17"/>
      <c r="H65" s="51" t="str">
        <f>IF(B65&lt;0.5,"Error: The Minimum Cable Seccion in the Loop is 0,5 mm2","")</f>
        <v/>
      </c>
    </row>
    <row r="66" spans="1:12" ht="14.4" customHeight="1" x14ac:dyDescent="0.25">
      <c r="A66" s="15" t="s">
        <v>103</v>
      </c>
      <c r="B66" s="89">
        <f>$B$11</f>
        <v>500</v>
      </c>
      <c r="C66" s="27"/>
      <c r="D66" s="29" t="s">
        <v>51</v>
      </c>
      <c r="E66" s="17"/>
      <c r="H66" s="51" t="str">
        <f>IF(B66&gt;3500,"Error: The Maximum Lenght in the Line is 3500 meters","")</f>
        <v/>
      </c>
    </row>
    <row r="67" spans="1:12" ht="14.4" customHeight="1" x14ac:dyDescent="0.25">
      <c r="A67" s="15" t="s">
        <v>104</v>
      </c>
      <c r="B67" s="89">
        <f>((($B$43*B66)/B65)*2)</f>
        <v>11.466666666666667</v>
      </c>
      <c r="C67" s="27"/>
      <c r="D67" s="38" t="s">
        <v>91</v>
      </c>
      <c r="E67" s="17"/>
    </row>
    <row r="68" spans="1:12" ht="14.4" customHeight="1" thickBot="1" x14ac:dyDescent="0.3">
      <c r="A68" s="16" t="s">
        <v>105</v>
      </c>
      <c r="B68" s="99">
        <f>B67/2</f>
        <v>5.7333333333333334</v>
      </c>
      <c r="C68" s="39"/>
      <c r="D68" s="40" t="s">
        <v>91</v>
      </c>
      <c r="E68" s="17"/>
    </row>
    <row r="69" spans="1:12" ht="14.4" customHeight="1" x14ac:dyDescent="0.25">
      <c r="A69" s="105" t="s">
        <v>106</v>
      </c>
      <c r="B69" s="106">
        <f>$B$48/$B$68</f>
        <v>1.2034883720930234</v>
      </c>
      <c r="C69" s="107"/>
      <c r="D69" s="106" t="s">
        <v>82</v>
      </c>
      <c r="E69" s="17"/>
    </row>
    <row r="70" spans="1:12" ht="14.4" customHeight="1" thickBot="1" x14ac:dyDescent="0.3">
      <c r="A70" s="102"/>
      <c r="B70" s="103"/>
      <c r="C70" s="104"/>
      <c r="D70" s="103"/>
      <c r="E70" s="17"/>
    </row>
    <row r="71" spans="1:12" ht="14.4" customHeight="1" thickBot="1" x14ac:dyDescent="0.3">
      <c r="A71" s="8" t="s">
        <v>48</v>
      </c>
      <c r="B71" s="48"/>
      <c r="C71" s="48"/>
      <c r="D71" s="49"/>
      <c r="E71" s="17"/>
    </row>
    <row r="72" spans="1:12" ht="14.4" customHeight="1" thickBot="1" x14ac:dyDescent="0.3">
      <c r="A72" s="8" t="s">
        <v>35</v>
      </c>
      <c r="B72" s="49"/>
      <c r="D72" s="56" t="str">
        <f>IF($B$47&gt;0.5,"FAIL",IF($B$69&gt;=$B$47,"OK","FAIL"))</f>
        <v>OK</v>
      </c>
      <c r="E72" s="17"/>
      <c r="G72" s="51"/>
      <c r="H72" s="51"/>
    </row>
    <row r="73" spans="1:12" ht="14.4" customHeight="1" thickBot="1" x14ac:dyDescent="0.3">
      <c r="A73" s="8" t="s">
        <v>36</v>
      </c>
      <c r="B73" s="49"/>
      <c r="C73" s="44"/>
      <c r="D73" s="55" t="str">
        <f>IF($M$33&lt;=200,"OK","FAIL")</f>
        <v>OK</v>
      </c>
      <c r="E73" s="17"/>
      <c r="G73" s="51"/>
      <c r="H73" s="51"/>
    </row>
    <row r="74" spans="1:12" ht="14.4" customHeight="1" x14ac:dyDescent="0.25">
      <c r="A74" s="12"/>
      <c r="D74" s="51" t="str">
        <f>IF($B$47&gt;0.5,"Error: The Loop Current is upper that Maximum Current allowed",IF($B$69&lt;$B$47,"Error: The Loop Current is upper that Maximum Current allowed",""))</f>
        <v/>
      </c>
      <c r="E74" s="17"/>
    </row>
    <row r="75" spans="1:12" ht="14.4" customHeight="1" x14ac:dyDescent="0.25">
      <c r="A75" s="12"/>
      <c r="D75" s="51" t="str">
        <f>IF($M$33&gt;200,"Error: The Loop cannot contain more than 200 addresses","")</f>
        <v/>
      </c>
      <c r="E75" s="17"/>
    </row>
    <row r="77" spans="1:12" ht="27" customHeight="1" x14ac:dyDescent="0.25">
      <c r="A77" s="133" t="s">
        <v>45</v>
      </c>
      <c r="B77" s="133"/>
      <c r="C77" s="133"/>
      <c r="D77" s="133"/>
      <c r="E77" s="133"/>
      <c r="F77" s="133"/>
      <c r="G77" s="133"/>
      <c r="H77" s="133"/>
      <c r="I77" s="133"/>
      <c r="J77" s="133"/>
      <c r="K77" s="133"/>
      <c r="L77" s="133"/>
    </row>
  </sheetData>
  <sheetProtection sheet="1" sort="0" autoFilter="0" pivotTables="0"/>
  <mergeCells count="3">
    <mergeCell ref="A77:L77"/>
    <mergeCell ref="K10:L10"/>
    <mergeCell ref="K11:L11"/>
  </mergeCells>
  <conditionalFormatting sqref="B11">
    <cfRule type="cellIs" dxfId="143" priority="12" operator="greaterThan">
      <formula>3500</formula>
    </cfRule>
  </conditionalFormatting>
  <conditionalFormatting sqref="B19:B32">
    <cfRule type="cellIs" dxfId="142" priority="11" operator="greaterThan">
      <formula>200</formula>
    </cfRule>
  </conditionalFormatting>
  <conditionalFormatting sqref="B28">
    <cfRule type="cellIs" dxfId="141" priority="1" operator="greaterThan">
      <formula>30</formula>
    </cfRule>
  </conditionalFormatting>
  <conditionalFormatting sqref="B44:B47">
    <cfRule type="cellIs" dxfId="140" priority="6" operator="greaterThan">
      <formula>0.5</formula>
    </cfRule>
  </conditionalFormatting>
  <conditionalFormatting sqref="B54">
    <cfRule type="containsErrors" dxfId="139" priority="82">
      <formula>ISERROR(B54)</formula>
    </cfRule>
  </conditionalFormatting>
  <conditionalFormatting sqref="B61">
    <cfRule type="containsErrors" dxfId="138" priority="46">
      <formula>ISERROR(B61)</formula>
    </cfRule>
  </conditionalFormatting>
  <conditionalFormatting sqref="B52:J53">
    <cfRule type="containsErrors" dxfId="137" priority="55">
      <formula>ISERROR(B52)</formula>
    </cfRule>
  </conditionalFormatting>
  <conditionalFormatting sqref="B59:J60">
    <cfRule type="containsErrors" dxfId="136" priority="54">
      <formula>ISERROR(B59)</formula>
    </cfRule>
  </conditionalFormatting>
  <conditionalFormatting sqref="D38:D40">
    <cfRule type="expression" dxfId="135" priority="9" stopIfTrue="1">
      <formula>#REF!&gt;2</formula>
    </cfRule>
    <cfRule type="expression" dxfId="134" priority="10" stopIfTrue="1">
      <formula>#REF!&lt;3</formula>
    </cfRule>
  </conditionalFormatting>
  <conditionalFormatting sqref="D72:D73">
    <cfRule type="cellIs" dxfId="133" priority="58" stopIfTrue="1" operator="equal">
      <formula>"FAIL"</formula>
    </cfRule>
  </conditionalFormatting>
  <conditionalFormatting sqref="D33:H33">
    <cfRule type="cellIs" dxfId="132" priority="5" operator="greaterThan">
      <formula>0.5</formula>
    </cfRule>
  </conditionalFormatting>
  <conditionalFormatting sqref="D54:J54">
    <cfRule type="containsErrors" dxfId="131" priority="47">
      <formula>ISERROR(D54)</formula>
    </cfRule>
  </conditionalFormatting>
  <conditionalFormatting sqref="D61:J61">
    <cfRule type="containsErrors" dxfId="130" priority="45">
      <formula>ISERROR(D61)</formula>
    </cfRule>
  </conditionalFormatting>
  <conditionalFormatting sqref="I31">
    <cfRule type="cellIs" dxfId="129" priority="2" operator="equal">
      <formula>0</formula>
    </cfRule>
  </conditionalFormatting>
  <conditionalFormatting sqref="I33:M33">
    <cfRule type="cellIs" dxfId="128" priority="4" operator="greaterThan">
      <formula>200</formula>
    </cfRule>
  </conditionalFormatting>
  <conditionalFormatting sqref="K19:K32">
    <cfRule type="cellIs" dxfId="127" priority="13" operator="equal">
      <formula>0</formula>
    </cfRule>
  </conditionalFormatting>
  <conditionalFormatting sqref="M10:M11">
    <cfRule type="cellIs" dxfId="126" priority="56" stopIfTrue="1" operator="equal">
      <formula>"FAIL"</formula>
    </cfRule>
  </conditionalFormatting>
  <pageMargins left="0.78740157480314965" right="0.39370078740157483" top="0.39370078740157483" bottom="0.39370078740157483" header="0" footer="0"/>
  <pageSetup paperSize="9" scale="60" orientation="portrait" horizontalDpi="1200" verticalDpi="1200" r:id="rId1"/>
  <headerFooter alignWithMargins="0">
    <oddHeader>&amp;L&amp;F&amp;R&amp;A</oddHeader>
    <oddFooter>&amp;L&amp;P / &amp;N&amp;R&amp;D &amp;T</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5D55514-F2E8-420D-BDEE-D22B74E77BF5}">
          <x14:formula1>
            <xm:f>Data!$A$9:$A$14</xm:f>
          </x14:formula1>
          <xm:sqref>B10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53672-0689-4AAF-B2AE-C6E80F1AB8AC}">
  <sheetPr>
    <pageSetUpPr fitToPage="1"/>
  </sheetPr>
  <dimension ref="A1:M77"/>
  <sheetViews>
    <sheetView zoomScale="130" zoomScaleNormal="130" workbookViewId="0"/>
  </sheetViews>
  <sheetFormatPr defaultColWidth="11.44140625" defaultRowHeight="13.2" x14ac:dyDescent="0.25"/>
  <cols>
    <col min="1" max="1" width="64.6640625" customWidth="1"/>
    <col min="2" max="2" width="10.6640625" customWidth="1"/>
    <col min="3" max="3" width="12.6640625" hidden="1" customWidth="1"/>
    <col min="4" max="4" width="12.6640625" customWidth="1"/>
    <col min="5" max="6" width="12.6640625" hidden="1" customWidth="1"/>
    <col min="7" max="7" width="10.5546875" customWidth="1"/>
    <col min="8" max="8" width="14.6640625" customWidth="1"/>
    <col min="9" max="12" width="6.6640625" customWidth="1"/>
    <col min="13" max="14" width="11.5546875" customWidth="1"/>
  </cols>
  <sheetData>
    <row r="1" spans="1:13" ht="15" customHeight="1" x14ac:dyDescent="0.25">
      <c r="C1" s="68" t="s">
        <v>46</v>
      </c>
      <c r="E1" s="68" t="s">
        <v>46</v>
      </c>
      <c r="F1" s="68" t="s">
        <v>46</v>
      </c>
      <c r="H1" s="1"/>
      <c r="I1" s="2"/>
      <c r="J1" s="2"/>
      <c r="K1" s="2"/>
      <c r="L1" s="2"/>
    </row>
    <row r="2" spans="1:13" ht="15" customHeight="1" x14ac:dyDescent="0.25">
      <c r="H2" s="1"/>
      <c r="I2" s="2"/>
      <c r="J2" s="2"/>
      <c r="K2" s="2"/>
      <c r="L2" s="2"/>
    </row>
    <row r="3" spans="1:13" ht="15" customHeight="1" x14ac:dyDescent="0.25">
      <c r="H3" s="1"/>
      <c r="I3" s="2"/>
      <c r="J3" s="2"/>
      <c r="K3" s="2"/>
      <c r="L3" s="2"/>
    </row>
    <row r="4" spans="1:13" ht="15" customHeight="1" x14ac:dyDescent="0.25">
      <c r="H4" s="1"/>
      <c r="I4" s="2"/>
      <c r="J4" s="2"/>
      <c r="K4" s="2"/>
      <c r="L4" s="2"/>
    </row>
    <row r="5" spans="1:13" ht="15" customHeight="1" x14ac:dyDescent="0.3">
      <c r="A5" s="3"/>
      <c r="H5" s="1"/>
      <c r="I5" s="2"/>
      <c r="J5" s="2"/>
      <c r="K5" s="2"/>
      <c r="L5" s="2"/>
    </row>
    <row r="6" spans="1:13" ht="15" customHeight="1" x14ac:dyDescent="0.3">
      <c r="A6" s="3"/>
      <c r="H6" s="1"/>
      <c r="I6" s="2"/>
      <c r="J6" s="2"/>
      <c r="K6" s="2"/>
      <c r="L6" s="2"/>
    </row>
    <row r="7" spans="1:13" s="7" customFormat="1" ht="13.8" thickBot="1" x14ac:dyDescent="0.3">
      <c r="A7" s="4" t="s">
        <v>0</v>
      </c>
      <c r="B7" s="4"/>
      <c r="C7" s="4"/>
      <c r="D7" s="4"/>
      <c r="E7" s="4"/>
      <c r="F7" s="4"/>
      <c r="G7" s="4"/>
      <c r="H7" s="6"/>
      <c r="I7" s="5"/>
      <c r="J7" s="5"/>
      <c r="K7" s="5"/>
      <c r="L7" s="5"/>
      <c r="M7" s="11" t="s">
        <v>1</v>
      </c>
    </row>
    <row r="8" spans="1:13" s="7" customFormat="1" ht="13.8" thickBot="1" x14ac:dyDescent="0.3">
      <c r="H8" s="19"/>
      <c r="I8" s="20"/>
      <c r="J8" s="20"/>
      <c r="K8" s="20"/>
      <c r="L8" s="20"/>
      <c r="M8" s="21"/>
    </row>
    <row r="9" spans="1:13" s="7" customFormat="1" ht="13.8" thickBot="1" x14ac:dyDescent="0.3">
      <c r="A9" s="13" t="s">
        <v>47</v>
      </c>
      <c r="B9" s="32"/>
      <c r="C9" s="32"/>
      <c r="D9" s="33"/>
      <c r="H9" s="19"/>
      <c r="K9" s="77" t="s">
        <v>48</v>
      </c>
      <c r="L9" s="78"/>
      <c r="M9" s="43"/>
    </row>
    <row r="10" spans="1:13" s="7" customFormat="1" ht="13.8" thickBot="1" x14ac:dyDescent="0.3">
      <c r="A10" s="30" t="s">
        <v>49</v>
      </c>
      <c r="B10" s="67">
        <v>1.5</v>
      </c>
      <c r="C10" s="22"/>
      <c r="D10" s="81">
        <f>VLOOKUP($B$10,Data!$A$9:$B$14,2,FALSE)</f>
        <v>16</v>
      </c>
      <c r="E10" s="82"/>
      <c r="F10" s="12"/>
      <c r="G10" s="100"/>
      <c r="H10" s="100"/>
      <c r="I10" s="100"/>
      <c r="J10" s="101"/>
      <c r="K10" s="134" t="s">
        <v>35</v>
      </c>
      <c r="L10" s="135"/>
      <c r="M10" s="56" t="str">
        <f>IF($B$47&gt;0.5,"FAIL",IF($B$69&gt;=$B$47,"OK","FAIL"))</f>
        <v>OK</v>
      </c>
    </row>
    <row r="11" spans="1:13" s="7" customFormat="1" ht="13.8" thickBot="1" x14ac:dyDescent="0.3">
      <c r="A11" s="16" t="s">
        <v>50</v>
      </c>
      <c r="B11" s="130">
        <v>1000</v>
      </c>
      <c r="C11" s="66"/>
      <c r="E11" s="12"/>
      <c r="F11" s="12"/>
      <c r="G11" s="100"/>
      <c r="H11" s="100"/>
      <c r="I11" s="100"/>
      <c r="J11" s="101"/>
      <c r="K11" s="136" t="s">
        <v>36</v>
      </c>
      <c r="L11" s="137"/>
      <c r="M11" s="55" t="str">
        <f>IF($M$33&lt;=200,"OK","FAIL")</f>
        <v>OK</v>
      </c>
    </row>
    <row r="12" spans="1:13" s="7" customFormat="1" ht="15.6" x14ac:dyDescent="0.25">
      <c r="A12" s="50" t="s">
        <v>52</v>
      </c>
      <c r="D12" s="51" t="str">
        <f>IF(B11&gt;3500,"Error: The Maximum Lenght in the Line is 3500 m","")</f>
        <v/>
      </c>
      <c r="H12" s="19"/>
      <c r="I12" s="20"/>
      <c r="J12" s="20"/>
      <c r="K12" s="20"/>
      <c r="L12" s="21"/>
    </row>
    <row r="13" spans="1:13" s="7" customFormat="1" x14ac:dyDescent="0.25">
      <c r="A13" s="50"/>
      <c r="D13" s="51" t="str">
        <f>IF($B$47&gt;0.5,"Error: The Loop Current is upper that Maximum Current allowed",IF($B$69&lt;$B$47,"Error: The Loop Current is upper that Maximum Current allowed",""))</f>
        <v/>
      </c>
      <c r="H13" s="19"/>
      <c r="I13" s="20"/>
      <c r="J13" s="20"/>
      <c r="K13" s="20"/>
      <c r="L13" s="21"/>
    </row>
    <row r="14" spans="1:13" s="7" customFormat="1" x14ac:dyDescent="0.25">
      <c r="A14" s="50"/>
      <c r="D14" s="51" t="str">
        <f>IF($M$33&gt;250,"Error: The Loop cannot contain more than 200 addresses","")</f>
        <v/>
      </c>
      <c r="H14" s="19"/>
      <c r="I14" s="20"/>
      <c r="J14" s="20"/>
      <c r="K14" s="20"/>
      <c r="L14" s="21"/>
    </row>
    <row r="15" spans="1:13" s="7" customFormat="1" x14ac:dyDescent="0.25">
      <c r="A15" s="50"/>
      <c r="H15" s="19"/>
      <c r="I15" s="20"/>
      <c r="J15" s="20"/>
      <c r="K15" s="20"/>
      <c r="L15" s="21"/>
    </row>
    <row r="16" spans="1:13" ht="13.8" thickBot="1" x14ac:dyDescent="0.3">
      <c r="B16" s="10" t="s">
        <v>53</v>
      </c>
      <c r="C16" s="10" t="s">
        <v>53</v>
      </c>
    </row>
    <row r="17" spans="1:13" ht="13.8" thickBot="1" x14ac:dyDescent="0.3">
      <c r="A17" s="8" t="s">
        <v>54</v>
      </c>
      <c r="B17" s="9"/>
      <c r="C17" s="9"/>
      <c r="D17" s="9"/>
      <c r="E17" s="9"/>
      <c r="F17" s="9"/>
      <c r="G17" s="9"/>
      <c r="H17" s="48"/>
      <c r="I17" s="48"/>
      <c r="J17" s="48"/>
      <c r="K17" s="48"/>
      <c r="L17" s="48"/>
      <c r="M17" s="49"/>
    </row>
    <row r="18" spans="1:13" s="7" customFormat="1" ht="13.8" thickBot="1" x14ac:dyDescent="0.3">
      <c r="A18" s="46" t="s">
        <v>55</v>
      </c>
      <c r="B18" s="47" t="s">
        <v>12</v>
      </c>
      <c r="C18" s="47" t="s">
        <v>7</v>
      </c>
      <c r="D18" s="47" t="s">
        <v>7</v>
      </c>
      <c r="E18" s="47" t="s">
        <v>56</v>
      </c>
      <c r="F18" s="47" t="s">
        <v>8</v>
      </c>
      <c r="G18" s="47" t="s">
        <v>8</v>
      </c>
      <c r="H18" s="47" t="s">
        <v>57</v>
      </c>
      <c r="I18" s="87" t="s">
        <v>58</v>
      </c>
      <c r="J18" s="87" t="s">
        <v>59</v>
      </c>
      <c r="K18" s="87" t="s">
        <v>60</v>
      </c>
      <c r="L18" s="87" t="s">
        <v>61</v>
      </c>
      <c r="M18" s="88" t="s">
        <v>62</v>
      </c>
    </row>
    <row r="19" spans="1:13" x14ac:dyDescent="0.25">
      <c r="A19" s="30" t="s">
        <v>63</v>
      </c>
      <c r="B19" s="98">
        <v>0</v>
      </c>
      <c r="C19" s="64">
        <f>0.3/1000</f>
        <v>2.9999999999999997E-4</v>
      </c>
      <c r="D19" s="72">
        <f>B19*C19</f>
        <v>0</v>
      </c>
      <c r="E19" s="83">
        <f>B19</f>
        <v>0</v>
      </c>
      <c r="F19" s="64">
        <f t="shared" ref="F19:F24" si="0">1/1000</f>
        <v>1E-3</v>
      </c>
      <c r="G19" s="72">
        <f>E19*F19</f>
        <v>0</v>
      </c>
      <c r="H19" s="25"/>
      <c r="I19" s="79"/>
      <c r="J19" s="79"/>
      <c r="K19" s="89" t="str">
        <f>IF(B19&lt;&gt;0,B19," ")</f>
        <v xml:space="preserve"> </v>
      </c>
      <c r="L19" s="79"/>
      <c r="M19" s="90" t="str">
        <f>IF(K19&lt;&gt;0,K19," ")</f>
        <v xml:space="preserve"> </v>
      </c>
    </row>
    <row r="20" spans="1:13" x14ac:dyDescent="0.25">
      <c r="A20" s="30" t="s">
        <v>64</v>
      </c>
      <c r="B20" s="98">
        <v>0</v>
      </c>
      <c r="C20" s="14">
        <v>2.9999999999999997E-4</v>
      </c>
      <c r="D20" s="72">
        <f t="shared" ref="D20:D32" si="1">B20*C20</f>
        <v>0</v>
      </c>
      <c r="E20" s="83">
        <f t="shared" ref="E20:E32" si="2">B20</f>
        <v>0</v>
      </c>
      <c r="F20" s="14">
        <f t="shared" si="0"/>
        <v>1E-3</v>
      </c>
      <c r="G20" s="72">
        <f t="shared" ref="G20:G32" si="3">E20*F20</f>
        <v>0</v>
      </c>
      <c r="H20" s="27"/>
      <c r="I20" s="79"/>
      <c r="J20" s="89" t="str">
        <f>IF(B20&lt;&gt;0,B20," ")</f>
        <v xml:space="preserve"> </v>
      </c>
      <c r="K20" s="91"/>
      <c r="L20" s="91"/>
      <c r="M20" s="90" t="str">
        <f>IF(J20&lt;&gt;0,J20," ")</f>
        <v xml:space="preserve"> </v>
      </c>
    </row>
    <row r="21" spans="1:13" x14ac:dyDescent="0.25">
      <c r="A21" s="15" t="s">
        <v>65</v>
      </c>
      <c r="B21" s="98">
        <v>0</v>
      </c>
      <c r="C21" s="14">
        <v>2.9999999999999997E-4</v>
      </c>
      <c r="D21" s="72">
        <f t="shared" si="1"/>
        <v>0</v>
      </c>
      <c r="E21" s="83">
        <f t="shared" si="2"/>
        <v>0</v>
      </c>
      <c r="F21" s="14">
        <f t="shared" si="0"/>
        <v>1E-3</v>
      </c>
      <c r="G21" s="72">
        <f t="shared" si="3"/>
        <v>0</v>
      </c>
      <c r="H21" s="27"/>
      <c r="I21" s="79"/>
      <c r="J21" s="89" t="str">
        <f>IF(B21&lt;&gt;0,B21," ")</f>
        <v xml:space="preserve"> </v>
      </c>
      <c r="K21" s="91"/>
      <c r="L21" s="91"/>
      <c r="M21" s="90" t="str">
        <f>IF(J21&lt;&gt;0,J21," ")</f>
        <v xml:space="preserve"> </v>
      </c>
    </row>
    <row r="22" spans="1:13" x14ac:dyDescent="0.25">
      <c r="A22" s="15" t="s">
        <v>66</v>
      </c>
      <c r="B22" s="98">
        <v>0</v>
      </c>
      <c r="C22" s="14">
        <v>2.9999999999999997E-4</v>
      </c>
      <c r="D22" s="72">
        <f t="shared" si="1"/>
        <v>0</v>
      </c>
      <c r="E22" s="83">
        <f t="shared" si="2"/>
        <v>0</v>
      </c>
      <c r="F22" s="14">
        <f t="shared" si="0"/>
        <v>1E-3</v>
      </c>
      <c r="G22" s="72">
        <f t="shared" si="3"/>
        <v>0</v>
      </c>
      <c r="H22" s="27"/>
      <c r="I22" s="79"/>
      <c r="J22" s="89" t="str">
        <f>IF(B22&lt;&gt;0,B22," ")</f>
        <v xml:space="preserve"> </v>
      </c>
      <c r="K22" s="91"/>
      <c r="L22" s="91"/>
      <c r="M22" s="90" t="str">
        <f>IF(J22&lt;&gt;0,J22," ")</f>
        <v xml:space="preserve"> </v>
      </c>
    </row>
    <row r="23" spans="1:13" x14ac:dyDescent="0.25">
      <c r="A23" s="15" t="s">
        <v>67</v>
      </c>
      <c r="B23" s="98">
        <v>0</v>
      </c>
      <c r="C23" s="14">
        <f t="shared" ref="C23:C28" si="4">0.25/1000</f>
        <v>2.5000000000000001E-4</v>
      </c>
      <c r="D23" s="72">
        <f t="shared" si="1"/>
        <v>0</v>
      </c>
      <c r="E23" s="83">
        <f t="shared" si="2"/>
        <v>0</v>
      </c>
      <c r="F23" s="14">
        <f t="shared" si="0"/>
        <v>1E-3</v>
      </c>
      <c r="G23" s="72">
        <f t="shared" si="3"/>
        <v>0</v>
      </c>
      <c r="H23" s="27"/>
      <c r="I23" s="79"/>
      <c r="J23" s="91"/>
      <c r="K23" s="89" t="str">
        <f>IF(B23&lt;&gt;0,B23," ")</f>
        <v xml:space="preserve"> </v>
      </c>
      <c r="L23" s="91"/>
      <c r="M23" s="90" t="str">
        <f>IF(K23&lt;&gt;0,K23," ")</f>
        <v xml:space="preserve"> </v>
      </c>
    </row>
    <row r="24" spans="1:13" x14ac:dyDescent="0.25">
      <c r="A24" s="15" t="s">
        <v>68</v>
      </c>
      <c r="B24" s="98">
        <v>0</v>
      </c>
      <c r="C24" s="14">
        <f t="shared" si="4"/>
        <v>2.5000000000000001E-4</v>
      </c>
      <c r="D24" s="72">
        <f t="shared" si="1"/>
        <v>0</v>
      </c>
      <c r="E24" s="83">
        <f t="shared" si="2"/>
        <v>0</v>
      </c>
      <c r="F24" s="14">
        <f t="shared" si="0"/>
        <v>1E-3</v>
      </c>
      <c r="G24" s="72">
        <f t="shared" si="3"/>
        <v>0</v>
      </c>
      <c r="H24" s="27"/>
      <c r="I24" s="79"/>
      <c r="J24" s="91"/>
      <c r="K24" s="89" t="str">
        <f>IF(B24&lt;&gt;0,B24," ")</f>
        <v xml:space="preserve"> </v>
      </c>
      <c r="L24" s="91"/>
      <c r="M24" s="90" t="str">
        <f>IF(K24&lt;&gt;0,K24," ")</f>
        <v xml:space="preserve"> </v>
      </c>
    </row>
    <row r="25" spans="1:13" x14ac:dyDescent="0.25">
      <c r="A25" s="15" t="s">
        <v>69</v>
      </c>
      <c r="B25" s="98">
        <v>0</v>
      </c>
      <c r="C25" s="14">
        <f t="shared" si="4"/>
        <v>2.5000000000000001E-4</v>
      </c>
      <c r="D25" s="72">
        <f t="shared" si="1"/>
        <v>0</v>
      </c>
      <c r="E25" s="83">
        <f t="shared" si="2"/>
        <v>0</v>
      </c>
      <c r="F25" s="14">
        <f>0.25/1000</f>
        <v>2.5000000000000001E-4</v>
      </c>
      <c r="G25" s="72">
        <f t="shared" si="3"/>
        <v>0</v>
      </c>
      <c r="H25" s="27"/>
      <c r="I25" s="79"/>
      <c r="J25" s="91"/>
      <c r="K25" s="89" t="str">
        <f>IF(B25&lt;&gt;0,B25," ")</f>
        <v xml:space="preserve"> </v>
      </c>
      <c r="L25" s="91"/>
      <c r="M25" s="90" t="str">
        <f>IF(K25&lt;&gt;0,K25," ")</f>
        <v xml:space="preserve"> </v>
      </c>
    </row>
    <row r="26" spans="1:13" x14ac:dyDescent="0.25">
      <c r="A26" s="15" t="s">
        <v>70</v>
      </c>
      <c r="B26" s="98">
        <v>0</v>
      </c>
      <c r="C26" s="14">
        <f t="shared" si="4"/>
        <v>2.5000000000000001E-4</v>
      </c>
      <c r="D26" s="72">
        <f t="shared" si="1"/>
        <v>0</v>
      </c>
      <c r="E26" s="83">
        <f t="shared" si="2"/>
        <v>0</v>
      </c>
      <c r="F26" s="14">
        <f>0.25/1000</f>
        <v>2.5000000000000001E-4</v>
      </c>
      <c r="G26" s="72">
        <f t="shared" si="3"/>
        <v>0</v>
      </c>
      <c r="H26" s="73" t="str">
        <f>IF(B26*G26=0," ",G26)</f>
        <v xml:space="preserve"> </v>
      </c>
      <c r="I26" s="79"/>
      <c r="J26" s="91"/>
      <c r="K26" s="91"/>
      <c r="L26" s="89" t="str">
        <f>IF(B26&lt;&gt;0,B26," ")</f>
        <v xml:space="preserve"> </v>
      </c>
      <c r="M26" s="90" t="str">
        <f>IF(L26&lt;&gt;0,L26," ")</f>
        <v xml:space="preserve"> </v>
      </c>
    </row>
    <row r="27" spans="1:13" x14ac:dyDescent="0.25">
      <c r="A27" s="15" t="s">
        <v>71</v>
      </c>
      <c r="B27" s="98">
        <v>0</v>
      </c>
      <c r="C27" s="14">
        <f t="shared" si="4"/>
        <v>2.5000000000000001E-4</v>
      </c>
      <c r="D27" s="72">
        <f t="shared" si="1"/>
        <v>0</v>
      </c>
      <c r="E27" s="83">
        <f t="shared" si="2"/>
        <v>0</v>
      </c>
      <c r="F27" s="14">
        <f>0.25/1000</f>
        <v>2.5000000000000001E-4</v>
      </c>
      <c r="G27" s="72">
        <f t="shared" si="3"/>
        <v>0</v>
      </c>
      <c r="H27" s="73" t="str">
        <f t="shared" ref="H27:H28" si="5">IF(B27*G27=0," ",G27)</f>
        <v xml:space="preserve"> </v>
      </c>
      <c r="I27" s="79"/>
      <c r="J27" s="91"/>
      <c r="K27" s="91"/>
      <c r="L27" s="89" t="str">
        <f>IF(B27&lt;&gt;0,B27," ")</f>
        <v xml:space="preserve"> </v>
      </c>
      <c r="M27" s="90" t="str">
        <f>IF(L27&lt;&gt;0,L27," ")</f>
        <v xml:space="preserve"> </v>
      </c>
    </row>
    <row r="28" spans="1:13" x14ac:dyDescent="0.25">
      <c r="A28" s="15" t="s">
        <v>72</v>
      </c>
      <c r="B28" s="98">
        <v>0</v>
      </c>
      <c r="C28" s="14">
        <f t="shared" si="4"/>
        <v>2.5000000000000001E-4</v>
      </c>
      <c r="D28" s="72">
        <f t="shared" si="1"/>
        <v>0</v>
      </c>
      <c r="E28" s="83">
        <f t="shared" si="2"/>
        <v>0</v>
      </c>
      <c r="F28" s="14">
        <f>10/1000</f>
        <v>0.01</v>
      </c>
      <c r="G28" s="72">
        <f t="shared" si="3"/>
        <v>0</v>
      </c>
      <c r="H28" s="73" t="str">
        <f t="shared" si="5"/>
        <v xml:space="preserve"> </v>
      </c>
      <c r="I28" s="79"/>
      <c r="J28" s="91"/>
      <c r="K28" s="91"/>
      <c r="L28" s="89" t="str">
        <f>IF(B28&lt;&gt;0,B28," ")</f>
        <v xml:space="preserve"> </v>
      </c>
      <c r="M28" s="90" t="str">
        <f>IF(L28&lt;&gt;0,L28," ")</f>
        <v xml:space="preserve"> </v>
      </c>
    </row>
    <row r="29" spans="1:13" x14ac:dyDescent="0.25">
      <c r="A29" s="15" t="s">
        <v>73</v>
      </c>
      <c r="B29" s="98">
        <v>0</v>
      </c>
      <c r="C29" s="14">
        <f>9/1000</f>
        <v>8.9999999999999993E-3</v>
      </c>
      <c r="D29" s="72">
        <f t="shared" si="1"/>
        <v>0</v>
      </c>
      <c r="E29" s="83">
        <f t="shared" si="2"/>
        <v>0</v>
      </c>
      <c r="F29" s="14">
        <f>46/1000</f>
        <v>4.5999999999999999E-2</v>
      </c>
      <c r="G29" s="72">
        <f t="shared" si="3"/>
        <v>0</v>
      </c>
      <c r="H29" s="27"/>
      <c r="I29" s="79"/>
      <c r="J29" s="91"/>
      <c r="K29" s="89" t="str">
        <f>IF(B29&lt;&gt;0,B29," ")</f>
        <v xml:space="preserve"> </v>
      </c>
      <c r="L29" s="91"/>
      <c r="M29" s="90" t="str">
        <f>IF(K29&lt;&gt;0,K29," ")</f>
        <v xml:space="preserve"> </v>
      </c>
    </row>
    <row r="30" spans="1:13" x14ac:dyDescent="0.25">
      <c r="A30" s="15" t="s">
        <v>74</v>
      </c>
      <c r="B30" s="98">
        <v>0</v>
      </c>
      <c r="C30" s="14">
        <f>2/1000</f>
        <v>2E-3</v>
      </c>
      <c r="D30" s="72">
        <f t="shared" si="1"/>
        <v>0</v>
      </c>
      <c r="E30" s="83">
        <f t="shared" si="2"/>
        <v>0</v>
      </c>
      <c r="F30" s="14">
        <f>2/1000</f>
        <v>2E-3</v>
      </c>
      <c r="G30" s="72">
        <f t="shared" si="3"/>
        <v>0</v>
      </c>
      <c r="H30" s="27"/>
      <c r="I30" s="79"/>
      <c r="J30" s="91"/>
      <c r="K30" s="89" t="str">
        <f>IF(B30&lt;&gt;0,B30," ")</f>
        <v xml:space="preserve"> </v>
      </c>
      <c r="L30" s="91"/>
      <c r="M30" s="90" t="str">
        <f>IF(K30&lt;&gt;0,K30," ")</f>
        <v xml:space="preserve"> </v>
      </c>
    </row>
    <row r="31" spans="1:13" x14ac:dyDescent="0.25">
      <c r="A31" s="15" t="s">
        <v>75</v>
      </c>
      <c r="B31" s="98">
        <v>0</v>
      </c>
      <c r="C31" s="14">
        <f>0.25/1000</f>
        <v>2.5000000000000001E-4</v>
      </c>
      <c r="D31" s="72">
        <f t="shared" si="1"/>
        <v>0</v>
      </c>
      <c r="E31" s="83">
        <f t="shared" si="2"/>
        <v>0</v>
      </c>
      <c r="F31" s="14">
        <f>0.25/1000</f>
        <v>2.5000000000000001E-4</v>
      </c>
      <c r="G31" s="72">
        <f t="shared" si="3"/>
        <v>0</v>
      </c>
      <c r="H31" s="27"/>
      <c r="I31" s="89" t="str">
        <f>IF(B30&lt;&gt;0,B30," ")</f>
        <v xml:space="preserve"> </v>
      </c>
      <c r="J31" s="91"/>
      <c r="K31" s="91"/>
      <c r="L31" s="91"/>
      <c r="M31" s="92"/>
    </row>
    <row r="32" spans="1:13" ht="13.8" thickBot="1" x14ac:dyDescent="0.3">
      <c r="A32" s="15" t="s">
        <v>76</v>
      </c>
      <c r="B32" s="98">
        <v>0</v>
      </c>
      <c r="C32" s="14">
        <v>6.2500000000000001E-4</v>
      </c>
      <c r="D32" s="72">
        <f t="shared" si="1"/>
        <v>0</v>
      </c>
      <c r="E32" s="83">
        <f t="shared" si="2"/>
        <v>0</v>
      </c>
      <c r="F32" s="65">
        <f>8/1000</f>
        <v>8.0000000000000002E-3</v>
      </c>
      <c r="G32" s="72">
        <f t="shared" si="3"/>
        <v>0</v>
      </c>
      <c r="H32" s="24"/>
      <c r="I32" s="79"/>
      <c r="J32" s="93"/>
      <c r="K32" s="93"/>
      <c r="L32" s="94"/>
      <c r="M32" s="95"/>
    </row>
    <row r="33" spans="1:13" s="7" customFormat="1" ht="13.8" thickBot="1" x14ac:dyDescent="0.3">
      <c r="A33" s="13" t="s">
        <v>77</v>
      </c>
      <c r="B33" s="96">
        <f>SUM(B19:B32)</f>
        <v>0</v>
      </c>
      <c r="C33" s="70"/>
      <c r="D33" s="69">
        <f>SUM(D19:D32)</f>
        <v>0</v>
      </c>
      <c r="E33" s="69">
        <f>SUM(E19:E31)</f>
        <v>0</v>
      </c>
      <c r="F33" s="69"/>
      <c r="G33" s="69">
        <f t="shared" ref="G33:M33" si="6">SUM(G19:G32)</f>
        <v>0</v>
      </c>
      <c r="H33" s="69">
        <f t="shared" si="6"/>
        <v>0</v>
      </c>
      <c r="I33" s="96">
        <f>SUM(I19:I32)</f>
        <v>0</v>
      </c>
      <c r="J33" s="96">
        <f t="shared" si="6"/>
        <v>0</v>
      </c>
      <c r="K33" s="96">
        <f t="shared" si="6"/>
        <v>0</v>
      </c>
      <c r="L33" s="96">
        <f t="shared" si="6"/>
        <v>0</v>
      </c>
      <c r="M33" s="97">
        <f t="shared" si="6"/>
        <v>0</v>
      </c>
    </row>
    <row r="34" spans="1:13" s="7" customFormat="1" x14ac:dyDescent="0.25">
      <c r="B34" s="34"/>
      <c r="C34" s="35"/>
      <c r="D34" s="51" t="str">
        <f>IF(M33&gt;200,"Error: The Loop cannot contain more than 200 addresses","")</f>
        <v/>
      </c>
      <c r="E34" s="37"/>
      <c r="F34" s="36"/>
      <c r="G34" s="36"/>
      <c r="H34" s="36"/>
      <c r="I34" s="36"/>
      <c r="J34" s="36"/>
      <c r="K34" s="34"/>
      <c r="L34" s="34"/>
    </row>
    <row r="35" spans="1:13" s="7" customFormat="1" x14ac:dyDescent="0.25">
      <c r="A35" s="50"/>
      <c r="D35" s="51" t="str">
        <f>IF(B28&gt;30,"Error: The Loop cannot contain more than 30 Loop Sounders in 1.000 meters","")</f>
        <v/>
      </c>
      <c r="H35" s="19"/>
      <c r="I35" s="20"/>
      <c r="J35" s="20"/>
      <c r="K35" s="20"/>
      <c r="L35" s="21"/>
    </row>
    <row r="36" spans="1:13" s="7" customFormat="1" x14ac:dyDescent="0.25">
      <c r="A36" s="50"/>
      <c r="D36" s="51" t="str">
        <f>IF(AND(B11&gt;1000,B28&gt;19),"Error: The Loop cannot contain more than 19 Loop Sounders in 2.000 meters","")</f>
        <v/>
      </c>
      <c r="H36" s="19"/>
      <c r="I36" s="20"/>
      <c r="J36" s="20"/>
      <c r="K36" s="20"/>
      <c r="L36" s="21"/>
    </row>
    <row r="37" spans="1:13" s="7" customFormat="1" x14ac:dyDescent="0.25">
      <c r="A37" s="50"/>
      <c r="D37" s="51" t="str">
        <f>IF(AND(B29&gt;6),"Error: The Loop cannot contain more than 6 Zone Modules Powered from the Loop","")</f>
        <v/>
      </c>
      <c r="H37" s="19"/>
      <c r="I37" s="20"/>
      <c r="J37" s="20"/>
      <c r="K37" s="20"/>
      <c r="L37" s="21"/>
    </row>
    <row r="38" spans="1:13" s="7" customFormat="1" x14ac:dyDescent="0.25">
      <c r="B38" s="34"/>
      <c r="C38" s="35"/>
      <c r="D38" s="71" t="str">
        <f>IF(OR(B25&gt;0,B27&gt;0,B30&gt;0),"Info: External 24V needed. EN 54-4 certificate."," ")</f>
        <v xml:space="preserve"> </v>
      </c>
      <c r="E38" s="37"/>
      <c r="F38" s="36"/>
      <c r="G38" s="36"/>
      <c r="H38" s="36"/>
      <c r="I38" s="36"/>
      <c r="J38" s="36"/>
      <c r="K38" s="34"/>
      <c r="L38" s="34"/>
    </row>
    <row r="39" spans="1:13" s="7" customFormat="1" x14ac:dyDescent="0.25">
      <c r="B39" s="34"/>
      <c r="C39" s="35"/>
      <c r="D39" s="71" t="str">
        <f>IF(OR(B25&gt;0,B27&gt;0,B30&gt;0),"        Control Panel could provide from 24Vaux,"," ")</f>
        <v xml:space="preserve"> </v>
      </c>
      <c r="E39" s="37"/>
      <c r="F39" s="36"/>
      <c r="G39" s="36"/>
      <c r="H39" s="36"/>
      <c r="I39" s="36"/>
      <c r="J39" s="36"/>
      <c r="K39" s="34"/>
      <c r="L39" s="34"/>
    </row>
    <row r="40" spans="1:13" s="7" customFormat="1" x14ac:dyDescent="0.25">
      <c r="B40" s="34"/>
      <c r="C40" s="35"/>
      <c r="D40" s="71" t="str">
        <f>IF(OR(B25&gt;0,B27&gt;0,B30&gt;0),"         if 2A maximum current isn't exceeded."," ")</f>
        <v xml:space="preserve"> </v>
      </c>
      <c r="E40" s="37"/>
      <c r="F40" s="36"/>
      <c r="G40" s="36"/>
      <c r="H40" s="36"/>
      <c r="I40" s="36"/>
      <c r="J40" s="36"/>
      <c r="K40" s="34"/>
      <c r="L40" s="34"/>
    </row>
    <row r="41" spans="1:13" ht="14.4" customHeight="1" thickBot="1" x14ac:dyDescent="0.3">
      <c r="E41" s="17"/>
      <c r="K41" s="51"/>
    </row>
    <row r="42" spans="1:13" ht="14.4" customHeight="1" thickBot="1" x14ac:dyDescent="0.3">
      <c r="A42" s="13" t="s">
        <v>78</v>
      </c>
      <c r="B42" s="41"/>
      <c r="C42" s="41"/>
      <c r="D42" s="42"/>
      <c r="E42" s="17"/>
    </row>
    <row r="43" spans="1:13" ht="14.4" customHeight="1" x14ac:dyDescent="0.25">
      <c r="A43" s="30" t="s">
        <v>79</v>
      </c>
      <c r="B43" s="45">
        <v>1.72E-2</v>
      </c>
      <c r="C43" s="25"/>
      <c r="D43" s="31" t="s">
        <v>80</v>
      </c>
      <c r="E43" s="17"/>
    </row>
    <row r="44" spans="1:13" ht="14.4" customHeight="1" x14ac:dyDescent="0.25">
      <c r="A44" s="15" t="s">
        <v>81</v>
      </c>
      <c r="B44" s="74">
        <f>D33</f>
        <v>0</v>
      </c>
      <c r="C44" s="27"/>
      <c r="D44" s="29" t="s">
        <v>82</v>
      </c>
      <c r="E44" s="17"/>
    </row>
    <row r="45" spans="1:13" ht="14.4" customHeight="1" x14ac:dyDescent="0.25">
      <c r="A45" s="15" t="s">
        <v>83</v>
      </c>
      <c r="B45" s="74">
        <f>G33-H33</f>
        <v>0</v>
      </c>
      <c r="C45" s="27"/>
      <c r="D45" s="29" t="s">
        <v>82</v>
      </c>
      <c r="E45" s="17"/>
    </row>
    <row r="46" spans="1:13" ht="14.4" customHeight="1" x14ac:dyDescent="0.25">
      <c r="A46" s="15" t="s">
        <v>84</v>
      </c>
      <c r="B46" s="74">
        <f>H33</f>
        <v>0</v>
      </c>
      <c r="C46" s="27"/>
      <c r="D46" s="29" t="s">
        <v>82</v>
      </c>
      <c r="E46" s="17"/>
    </row>
    <row r="47" spans="1:13" ht="14.4" customHeight="1" x14ac:dyDescent="0.25">
      <c r="A47" s="15" t="s">
        <v>21</v>
      </c>
      <c r="B47" s="74">
        <f>SUM(B44:B46)</f>
        <v>0</v>
      </c>
      <c r="C47" s="27"/>
      <c r="D47" s="29" t="s">
        <v>82</v>
      </c>
      <c r="E47" s="17"/>
    </row>
    <row r="48" spans="1:13" ht="14.4" customHeight="1" thickBot="1" x14ac:dyDescent="0.3">
      <c r="A48" s="16" t="s">
        <v>85</v>
      </c>
      <c r="B48" s="39">
        <v>6.9</v>
      </c>
      <c r="C48" s="39"/>
      <c r="D48" s="18" t="s">
        <v>86</v>
      </c>
      <c r="E48" s="17"/>
    </row>
    <row r="49" spans="1:12" ht="14.4" customHeight="1" thickBot="1" x14ac:dyDescent="0.3">
      <c r="A49" s="12"/>
      <c r="E49" s="17"/>
    </row>
    <row r="50" spans="1:12" ht="14.4" customHeight="1" thickBot="1" x14ac:dyDescent="0.3">
      <c r="A50" s="8" t="s">
        <v>87</v>
      </c>
      <c r="B50" s="48"/>
      <c r="C50" s="48"/>
      <c r="D50" s="48"/>
      <c r="E50" s="84"/>
      <c r="F50" s="48"/>
      <c r="G50" s="48"/>
      <c r="H50" s="48"/>
      <c r="I50" s="48"/>
      <c r="J50" s="48"/>
      <c r="K50" s="49"/>
      <c r="L50" s="52"/>
    </row>
    <row r="51" spans="1:12" ht="14.4" customHeight="1" x14ac:dyDescent="0.25">
      <c r="A51" s="62" t="s">
        <v>88</v>
      </c>
      <c r="B51" s="79">
        <v>1000</v>
      </c>
      <c r="C51" s="79"/>
      <c r="D51" s="79">
        <v>1500</v>
      </c>
      <c r="E51" s="85"/>
      <c r="F51" s="79"/>
      <c r="G51" s="79">
        <v>2000</v>
      </c>
      <c r="H51" s="79">
        <v>2500</v>
      </c>
      <c r="I51" s="79">
        <v>3000</v>
      </c>
      <c r="J51" s="80">
        <v>3500</v>
      </c>
      <c r="K51" s="53" t="s">
        <v>89</v>
      </c>
    </row>
    <row r="52" spans="1:12" ht="14.4" customHeight="1" x14ac:dyDescent="0.25">
      <c r="A52" s="26" t="s">
        <v>90</v>
      </c>
      <c r="B52" s="75">
        <f>((($B$43*B51)/B54)*2)</f>
        <v>68.8</v>
      </c>
      <c r="C52" s="75">
        <f t="shared" ref="C52:J52" si="7">((($B$43*C51)/C54)*2)</f>
        <v>0</v>
      </c>
      <c r="D52" s="75">
        <f t="shared" si="7"/>
        <v>103.2</v>
      </c>
      <c r="E52" s="75">
        <f t="shared" si="7"/>
        <v>0</v>
      </c>
      <c r="F52" s="75">
        <f t="shared" si="7"/>
        <v>0</v>
      </c>
      <c r="G52" s="75">
        <f t="shared" si="7"/>
        <v>137.6</v>
      </c>
      <c r="H52" s="75">
        <f t="shared" si="7"/>
        <v>172</v>
      </c>
      <c r="I52" s="75">
        <f t="shared" si="7"/>
        <v>206.4</v>
      </c>
      <c r="J52" s="75">
        <f t="shared" si="7"/>
        <v>240.8</v>
      </c>
      <c r="K52" s="54" t="s">
        <v>91</v>
      </c>
    </row>
    <row r="53" spans="1:12" ht="14.4" customHeight="1" thickBot="1" x14ac:dyDescent="0.3">
      <c r="A53" s="61" t="s">
        <v>92</v>
      </c>
      <c r="B53" s="75">
        <f>B52/2</f>
        <v>34.4</v>
      </c>
      <c r="C53" s="75">
        <f t="shared" ref="C53:J53" si="8">C52/2</f>
        <v>0</v>
      </c>
      <c r="D53" s="75">
        <f t="shared" si="8"/>
        <v>51.6</v>
      </c>
      <c r="E53" s="75">
        <f t="shared" si="8"/>
        <v>0</v>
      </c>
      <c r="F53" s="75">
        <f t="shared" si="8"/>
        <v>0</v>
      </c>
      <c r="G53" s="75">
        <f t="shared" si="8"/>
        <v>68.8</v>
      </c>
      <c r="H53" s="75">
        <f t="shared" si="8"/>
        <v>86</v>
      </c>
      <c r="I53" s="75">
        <f t="shared" si="8"/>
        <v>103.2</v>
      </c>
      <c r="J53" s="75">
        <f t="shared" si="8"/>
        <v>120.4</v>
      </c>
      <c r="K53" s="60" t="s">
        <v>91</v>
      </c>
    </row>
    <row r="54" spans="1:12" ht="14.4" customHeight="1" thickBot="1" x14ac:dyDescent="0.3">
      <c r="A54" s="13" t="s">
        <v>93</v>
      </c>
      <c r="B54" s="63">
        <f>IF(IFERROR((($B$43*B$51)/(($B$48)/$B$47)),0)&lt;0.5,0.5,IFERROR((($B$43*B$51)/(($B$48)/$B$47)),0))</f>
        <v>0.5</v>
      </c>
      <c r="C54" s="63">
        <f t="shared" ref="C54:J54" si="9">IF(IFERROR((($B$43*C$51)/(($B$48)/$B$47)),0)&lt;0.5,0.5,IFERROR((($B$43*C$51)/(($B$48)/$B$47)),0))</f>
        <v>0.5</v>
      </c>
      <c r="D54" s="63">
        <f t="shared" si="9"/>
        <v>0.5</v>
      </c>
      <c r="E54" s="63">
        <f t="shared" si="9"/>
        <v>0.5</v>
      </c>
      <c r="F54" s="63">
        <f t="shared" si="9"/>
        <v>0.5</v>
      </c>
      <c r="G54" s="63">
        <f t="shared" si="9"/>
        <v>0.5</v>
      </c>
      <c r="H54" s="63">
        <f t="shared" si="9"/>
        <v>0.5</v>
      </c>
      <c r="I54" s="63">
        <f t="shared" si="9"/>
        <v>0.5</v>
      </c>
      <c r="J54" s="63">
        <f t="shared" si="9"/>
        <v>0.5</v>
      </c>
      <c r="K54" s="28" t="s">
        <v>94</v>
      </c>
    </row>
    <row r="55" spans="1:12" ht="14.4" customHeight="1" x14ac:dyDescent="0.25">
      <c r="A55" s="12"/>
      <c r="B55" s="52" t="s">
        <v>95</v>
      </c>
      <c r="D55" s="52"/>
      <c r="E55" s="17"/>
    </row>
    <row r="56" spans="1:12" ht="14.4" customHeight="1" thickBot="1" x14ac:dyDescent="0.3">
      <c r="A56" s="12"/>
      <c r="E56" s="17"/>
    </row>
    <row r="57" spans="1:12" ht="14.4" customHeight="1" thickBot="1" x14ac:dyDescent="0.3">
      <c r="A57" s="8" t="s">
        <v>96</v>
      </c>
      <c r="B57" s="48"/>
      <c r="C57" s="48"/>
      <c r="D57" s="48"/>
      <c r="E57" s="84"/>
      <c r="F57" s="48"/>
      <c r="G57" s="48"/>
      <c r="H57" s="48"/>
      <c r="I57" s="48"/>
      <c r="J57" s="48"/>
      <c r="K57" s="49"/>
      <c r="L57" s="52"/>
    </row>
    <row r="58" spans="1:12" ht="14.4" customHeight="1" x14ac:dyDescent="0.25">
      <c r="A58" s="53" t="s">
        <v>97</v>
      </c>
      <c r="B58" s="23">
        <v>0.5</v>
      </c>
      <c r="C58" s="25"/>
      <c r="D58" s="25">
        <v>0.75</v>
      </c>
      <c r="E58" s="86"/>
      <c r="F58" s="25"/>
      <c r="G58" s="25">
        <v>1</v>
      </c>
      <c r="H58" s="25">
        <v>1.5</v>
      </c>
      <c r="I58" s="25">
        <v>2.5</v>
      </c>
      <c r="J58" s="58">
        <v>4</v>
      </c>
      <c r="K58" s="53" t="s">
        <v>98</v>
      </c>
    </row>
    <row r="59" spans="1:12" ht="14.4" customHeight="1" x14ac:dyDescent="0.25">
      <c r="A59" s="57" t="s">
        <v>90</v>
      </c>
      <c r="B59" s="75">
        <f t="shared" ref="B59:J59" si="10">$B$43*B61/B58*2</f>
        <v>240.8</v>
      </c>
      <c r="C59" s="75" t="e">
        <f t="shared" si="10"/>
        <v>#DIV/0!</v>
      </c>
      <c r="D59" s="75">
        <f t="shared" si="10"/>
        <v>160.53333333333333</v>
      </c>
      <c r="E59" s="75" t="e">
        <f t="shared" si="10"/>
        <v>#DIV/0!</v>
      </c>
      <c r="F59" s="75" t="e">
        <f t="shared" si="10"/>
        <v>#DIV/0!</v>
      </c>
      <c r="G59" s="75">
        <f t="shared" si="10"/>
        <v>120.4</v>
      </c>
      <c r="H59" s="75">
        <f t="shared" si="10"/>
        <v>80.266666666666666</v>
      </c>
      <c r="I59" s="75">
        <f t="shared" si="10"/>
        <v>48.160000000000004</v>
      </c>
      <c r="J59" s="75">
        <f t="shared" si="10"/>
        <v>30.1</v>
      </c>
      <c r="K59" s="54" t="s">
        <v>91</v>
      </c>
    </row>
    <row r="60" spans="1:12" ht="14.4" customHeight="1" thickBot="1" x14ac:dyDescent="0.3">
      <c r="A60" s="59" t="s">
        <v>92</v>
      </c>
      <c r="B60" s="75">
        <f>B59/2</f>
        <v>120.4</v>
      </c>
      <c r="C60" s="75" t="e">
        <f t="shared" ref="C60:J60" si="11">C59/2</f>
        <v>#DIV/0!</v>
      </c>
      <c r="D60" s="75">
        <f t="shared" si="11"/>
        <v>80.266666666666666</v>
      </c>
      <c r="E60" s="75" t="e">
        <f t="shared" si="11"/>
        <v>#DIV/0!</v>
      </c>
      <c r="F60" s="75" t="e">
        <f t="shared" si="11"/>
        <v>#DIV/0!</v>
      </c>
      <c r="G60" s="75">
        <f t="shared" si="11"/>
        <v>60.2</v>
      </c>
      <c r="H60" s="75">
        <f t="shared" si="11"/>
        <v>40.133333333333333</v>
      </c>
      <c r="I60" s="75">
        <f t="shared" si="11"/>
        <v>24.080000000000002</v>
      </c>
      <c r="J60" s="75">
        <f t="shared" si="11"/>
        <v>15.05</v>
      </c>
      <c r="K60" s="60" t="s">
        <v>91</v>
      </c>
    </row>
    <row r="61" spans="1:12" ht="14.4" customHeight="1" thickBot="1" x14ac:dyDescent="0.3">
      <c r="A61" s="28" t="s">
        <v>99</v>
      </c>
      <c r="B61" s="63">
        <f>IF(IFERROR((((($B$48)/$B$47)*B$58)/$B$43),9999)&gt;3500,3500,IFERROR((((($B$48)/$B$47)*B$58)/$B$43),9999))</f>
        <v>3500</v>
      </c>
      <c r="C61" s="63">
        <f t="shared" ref="C61:J61" si="12">IF(IFERROR((((($B$48)/$B$47)*C$58)/$B$43),9999)&gt;3500,3500,IFERROR((((($B$48)/$B$47)*C$58)/$B$43),9999))</f>
        <v>3500</v>
      </c>
      <c r="D61" s="63">
        <f t="shared" si="12"/>
        <v>3500</v>
      </c>
      <c r="E61" s="63">
        <f t="shared" si="12"/>
        <v>3500</v>
      </c>
      <c r="F61" s="63">
        <f t="shared" si="12"/>
        <v>3500</v>
      </c>
      <c r="G61" s="63">
        <f t="shared" si="12"/>
        <v>3500</v>
      </c>
      <c r="H61" s="63">
        <f t="shared" si="12"/>
        <v>3500</v>
      </c>
      <c r="I61" s="63">
        <f t="shared" si="12"/>
        <v>3500</v>
      </c>
      <c r="J61" s="63">
        <f t="shared" si="12"/>
        <v>3500</v>
      </c>
      <c r="K61" s="28" t="s">
        <v>89</v>
      </c>
    </row>
    <row r="62" spans="1:12" ht="14.4" customHeight="1" x14ac:dyDescent="0.25">
      <c r="A62" s="12"/>
      <c r="B62" s="52" t="s">
        <v>100</v>
      </c>
      <c r="D62" s="52"/>
      <c r="E62" s="17"/>
    </row>
    <row r="63" spans="1:12" ht="14.4" customHeight="1" thickBot="1" x14ac:dyDescent="0.3">
      <c r="A63" s="12"/>
      <c r="E63" s="17"/>
    </row>
    <row r="64" spans="1:12" ht="14.4" customHeight="1" thickBot="1" x14ac:dyDescent="0.3">
      <c r="A64" s="8" t="s">
        <v>101</v>
      </c>
      <c r="B64" s="48"/>
      <c r="C64" s="48"/>
      <c r="D64" s="49"/>
      <c r="E64" s="17"/>
    </row>
    <row r="65" spans="1:12" ht="14.4" customHeight="1" x14ac:dyDescent="0.25">
      <c r="A65" s="30" t="s">
        <v>102</v>
      </c>
      <c r="B65" s="76">
        <f>$B$10</f>
        <v>1.5</v>
      </c>
      <c r="C65" s="25"/>
      <c r="D65" s="31" t="s">
        <v>98</v>
      </c>
      <c r="E65" s="17"/>
      <c r="H65" s="51" t="str">
        <f>IF(B65&lt;0.5,"Error: The Minimum Cable Seccion in the Loop is 0,5 mm2","")</f>
        <v/>
      </c>
    </row>
    <row r="66" spans="1:12" ht="14.4" customHeight="1" x14ac:dyDescent="0.25">
      <c r="A66" s="15" t="s">
        <v>103</v>
      </c>
      <c r="B66" s="89">
        <f>$B$11</f>
        <v>1000</v>
      </c>
      <c r="C66" s="27"/>
      <c r="D66" s="29" t="s">
        <v>51</v>
      </c>
      <c r="E66" s="17"/>
      <c r="H66" s="51" t="str">
        <f>IF(B66&gt;3500,"Error: The Maximum Lenght in the Line is 3500 meters","")</f>
        <v/>
      </c>
    </row>
    <row r="67" spans="1:12" ht="14.4" customHeight="1" x14ac:dyDescent="0.25">
      <c r="A67" s="15" t="s">
        <v>104</v>
      </c>
      <c r="B67" s="89">
        <f>((($B$43*B66)/B65)*2)</f>
        <v>22.933333333333334</v>
      </c>
      <c r="C67" s="27"/>
      <c r="D67" s="38" t="s">
        <v>91</v>
      </c>
      <c r="E67" s="17"/>
    </row>
    <row r="68" spans="1:12" ht="14.4" customHeight="1" thickBot="1" x14ac:dyDescent="0.3">
      <c r="A68" s="16" t="s">
        <v>105</v>
      </c>
      <c r="B68" s="99">
        <f>B67/2</f>
        <v>11.466666666666667</v>
      </c>
      <c r="C68" s="39"/>
      <c r="D68" s="40" t="s">
        <v>91</v>
      </c>
      <c r="E68" s="17"/>
    </row>
    <row r="69" spans="1:12" ht="14.4" customHeight="1" x14ac:dyDescent="0.25">
      <c r="A69" s="105" t="s">
        <v>106</v>
      </c>
      <c r="B69" s="106">
        <f>$B$48/$B$68</f>
        <v>0.6017441860465117</v>
      </c>
      <c r="C69" s="107"/>
      <c r="D69" s="106" t="s">
        <v>82</v>
      </c>
      <c r="E69" s="17"/>
    </row>
    <row r="70" spans="1:12" ht="14.4" customHeight="1" thickBot="1" x14ac:dyDescent="0.3">
      <c r="A70" s="102"/>
      <c r="B70" s="103"/>
      <c r="C70" s="104"/>
      <c r="D70" s="103"/>
      <c r="E70" s="17"/>
    </row>
    <row r="71" spans="1:12" ht="14.4" customHeight="1" thickBot="1" x14ac:dyDescent="0.3">
      <c r="A71" s="8" t="s">
        <v>48</v>
      </c>
      <c r="B71" s="48"/>
      <c r="C71" s="48"/>
      <c r="D71" s="49"/>
      <c r="E71" s="17"/>
    </row>
    <row r="72" spans="1:12" ht="14.4" customHeight="1" thickBot="1" x14ac:dyDescent="0.3">
      <c r="A72" s="8" t="s">
        <v>35</v>
      </c>
      <c r="B72" s="49"/>
      <c r="D72" s="56" t="str">
        <f>IF($B$47&gt;0.5,"FAIL",IF($B$69&gt;=$B$47,"OK","FAIL"))</f>
        <v>OK</v>
      </c>
      <c r="E72" s="17"/>
      <c r="G72" s="51"/>
      <c r="H72" s="51"/>
    </row>
    <row r="73" spans="1:12" ht="14.4" customHeight="1" thickBot="1" x14ac:dyDescent="0.3">
      <c r="A73" s="8" t="s">
        <v>36</v>
      </c>
      <c r="B73" s="49"/>
      <c r="C73" s="44"/>
      <c r="D73" s="55" t="str">
        <f>IF($M$33&lt;=200,"OK","FAIL")</f>
        <v>OK</v>
      </c>
      <c r="E73" s="17"/>
      <c r="G73" s="51"/>
      <c r="H73" s="51"/>
    </row>
    <row r="74" spans="1:12" ht="14.4" customHeight="1" x14ac:dyDescent="0.25">
      <c r="A74" s="12"/>
      <c r="D74" s="51" t="str">
        <f>IF($B$47&gt;0.5,"Error: The Loop Current is upper that Maximum Current allowed",IF($B$69&lt;$B$47,"Error: The Loop Current is upper that Maximum Current allowed",""))</f>
        <v/>
      </c>
      <c r="E74" s="17"/>
    </row>
    <row r="75" spans="1:12" ht="14.4" customHeight="1" x14ac:dyDescent="0.25">
      <c r="A75" s="12"/>
      <c r="D75" s="51" t="str">
        <f>IF($M$33&gt;200,"Error: The Loop cannot contain more than 200 addresses","")</f>
        <v/>
      </c>
      <c r="E75" s="17"/>
    </row>
    <row r="77" spans="1:12" ht="27" customHeight="1" x14ac:dyDescent="0.25">
      <c r="A77" s="133" t="s">
        <v>45</v>
      </c>
      <c r="B77" s="133"/>
      <c r="C77" s="133"/>
      <c r="D77" s="133"/>
      <c r="E77" s="133"/>
      <c r="F77" s="133"/>
      <c r="G77" s="133"/>
      <c r="H77" s="133"/>
      <c r="I77" s="133"/>
      <c r="J77" s="133"/>
      <c r="K77" s="133"/>
      <c r="L77" s="133"/>
    </row>
  </sheetData>
  <sheetProtection sheet="1" sort="0" autoFilter="0" pivotTables="0"/>
  <mergeCells count="3">
    <mergeCell ref="K10:L10"/>
    <mergeCell ref="K11:L11"/>
    <mergeCell ref="A77:L77"/>
  </mergeCells>
  <conditionalFormatting sqref="B11">
    <cfRule type="cellIs" dxfId="125" priority="1" operator="greaterThan">
      <formula>3500</formula>
    </cfRule>
  </conditionalFormatting>
  <conditionalFormatting sqref="B19:B32">
    <cfRule type="cellIs" dxfId="124" priority="11" operator="greaterThan">
      <formula>200</formula>
    </cfRule>
  </conditionalFormatting>
  <conditionalFormatting sqref="B28">
    <cfRule type="cellIs" dxfId="123" priority="2" operator="greaterThan">
      <formula>30</formula>
    </cfRule>
  </conditionalFormatting>
  <conditionalFormatting sqref="B44:B47">
    <cfRule type="cellIs" dxfId="122" priority="7" operator="greaterThan">
      <formula>0.5</formula>
    </cfRule>
  </conditionalFormatting>
  <conditionalFormatting sqref="B54">
    <cfRule type="containsErrors" dxfId="121" priority="24">
      <formula>ISERROR(B54)</formula>
    </cfRule>
  </conditionalFormatting>
  <conditionalFormatting sqref="B61">
    <cfRule type="containsErrors" dxfId="120" priority="15">
      <formula>ISERROR(B61)</formula>
    </cfRule>
  </conditionalFormatting>
  <conditionalFormatting sqref="B52:J53">
    <cfRule type="containsErrors" dxfId="119" priority="18">
      <formula>ISERROR(B52)</formula>
    </cfRule>
  </conditionalFormatting>
  <conditionalFormatting sqref="B59:J60">
    <cfRule type="containsErrors" dxfId="118" priority="17">
      <formula>ISERROR(B59)</formula>
    </cfRule>
  </conditionalFormatting>
  <conditionalFormatting sqref="D38:D40">
    <cfRule type="expression" dxfId="117" priority="9" stopIfTrue="1">
      <formula>#REF!&gt;2</formula>
    </cfRule>
    <cfRule type="expression" dxfId="116" priority="10" stopIfTrue="1">
      <formula>#REF!&lt;3</formula>
    </cfRule>
  </conditionalFormatting>
  <conditionalFormatting sqref="D72:D73">
    <cfRule type="cellIs" dxfId="115" priority="21" stopIfTrue="1" operator="equal">
      <formula>"FAIL"</formula>
    </cfRule>
  </conditionalFormatting>
  <conditionalFormatting sqref="D33:H33">
    <cfRule type="cellIs" dxfId="114" priority="6" operator="greaterThan">
      <formula>0.5</formula>
    </cfRule>
  </conditionalFormatting>
  <conditionalFormatting sqref="D54:J54">
    <cfRule type="containsErrors" dxfId="113" priority="16">
      <formula>ISERROR(D54)</formula>
    </cfRule>
  </conditionalFormatting>
  <conditionalFormatting sqref="D61:J61">
    <cfRule type="containsErrors" dxfId="112" priority="14">
      <formula>ISERROR(D61)</formula>
    </cfRule>
  </conditionalFormatting>
  <conditionalFormatting sqref="I31">
    <cfRule type="cellIs" dxfId="111" priority="3" operator="equal">
      <formula>0</formula>
    </cfRule>
  </conditionalFormatting>
  <conditionalFormatting sqref="I33:M33">
    <cfRule type="cellIs" dxfId="110" priority="5" operator="greaterThan">
      <formula>200</formula>
    </cfRule>
  </conditionalFormatting>
  <conditionalFormatting sqref="K19:K32">
    <cfRule type="cellIs" dxfId="109" priority="13" operator="equal">
      <formula>0</formula>
    </cfRule>
  </conditionalFormatting>
  <conditionalFormatting sqref="M10:M11">
    <cfRule type="cellIs" dxfId="108" priority="19" stopIfTrue="1" operator="equal">
      <formula>"FAIL"</formula>
    </cfRule>
  </conditionalFormatting>
  <pageMargins left="0.78740157480314965" right="0.39370078740157483" top="0.39370078740157483" bottom="0.39370078740157483" header="0" footer="0"/>
  <pageSetup paperSize="9" scale="60" orientation="portrait" horizontalDpi="1200" verticalDpi="1200" r:id="rId1"/>
  <headerFooter alignWithMargins="0">
    <oddHeader>&amp;L&amp;F&amp;R&amp;A</oddHeader>
    <oddFooter>&amp;L&amp;P / &amp;N&amp;R&amp;D &amp;T</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3D2A9728-883E-4FCB-960D-E4BAABE47B6C}">
          <x14:formula1>
            <xm:f>Data!$A$9:$A$14</xm:f>
          </x14:formula1>
          <xm:sqref>B10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20EBC-E782-4508-BB45-D3ECE8394032}">
  <sheetPr>
    <pageSetUpPr fitToPage="1"/>
  </sheetPr>
  <dimension ref="A1:M77"/>
  <sheetViews>
    <sheetView zoomScale="130" zoomScaleNormal="130" workbookViewId="0"/>
  </sheetViews>
  <sheetFormatPr defaultColWidth="11.44140625" defaultRowHeight="13.2" x14ac:dyDescent="0.25"/>
  <cols>
    <col min="1" max="1" width="64.6640625" customWidth="1"/>
    <col min="2" max="2" width="10.6640625" customWidth="1"/>
    <col min="3" max="3" width="12.6640625" hidden="1" customWidth="1"/>
    <col min="4" max="4" width="12.6640625" customWidth="1"/>
    <col min="5" max="6" width="12.6640625" hidden="1" customWidth="1"/>
    <col min="7" max="7" width="10.5546875" customWidth="1"/>
    <col min="8" max="8" width="14.6640625" customWidth="1"/>
    <col min="9" max="12" width="6.6640625" customWidth="1"/>
    <col min="13" max="14" width="11.5546875" customWidth="1"/>
  </cols>
  <sheetData>
    <row r="1" spans="1:13" ht="15" customHeight="1" x14ac:dyDescent="0.25">
      <c r="C1" s="68" t="s">
        <v>46</v>
      </c>
      <c r="E1" s="68" t="s">
        <v>46</v>
      </c>
      <c r="F1" s="68" t="s">
        <v>46</v>
      </c>
      <c r="H1" s="1"/>
      <c r="I1" s="2"/>
      <c r="J1" s="2"/>
      <c r="K1" s="2"/>
      <c r="L1" s="2"/>
    </row>
    <row r="2" spans="1:13" ht="15" customHeight="1" x14ac:dyDescent="0.25">
      <c r="H2" s="1"/>
      <c r="I2" s="2"/>
      <c r="J2" s="2"/>
      <c r="K2" s="2"/>
      <c r="L2" s="2"/>
    </row>
    <row r="3" spans="1:13" ht="15" customHeight="1" x14ac:dyDescent="0.25">
      <c r="H3" s="1"/>
      <c r="I3" s="2"/>
      <c r="J3" s="2"/>
      <c r="K3" s="2"/>
      <c r="L3" s="2"/>
    </row>
    <row r="4" spans="1:13" ht="15" customHeight="1" x14ac:dyDescent="0.25">
      <c r="H4" s="1"/>
      <c r="I4" s="2"/>
      <c r="J4" s="2"/>
      <c r="K4" s="2"/>
      <c r="L4" s="2"/>
    </row>
    <row r="5" spans="1:13" ht="15" customHeight="1" x14ac:dyDescent="0.3">
      <c r="A5" s="3"/>
      <c r="H5" s="1"/>
      <c r="I5" s="2"/>
      <c r="J5" s="2"/>
      <c r="K5" s="2"/>
      <c r="L5" s="2"/>
    </row>
    <row r="6" spans="1:13" ht="15" customHeight="1" x14ac:dyDescent="0.3">
      <c r="A6" s="3"/>
      <c r="H6" s="1"/>
      <c r="I6" s="2"/>
      <c r="J6" s="2"/>
      <c r="K6" s="2"/>
      <c r="L6" s="2"/>
    </row>
    <row r="7" spans="1:13" s="7" customFormat="1" ht="13.8" thickBot="1" x14ac:dyDescent="0.3">
      <c r="A7" s="4" t="s">
        <v>0</v>
      </c>
      <c r="B7" s="4"/>
      <c r="C7" s="4"/>
      <c r="D7" s="4"/>
      <c r="E7" s="4"/>
      <c r="F7" s="4"/>
      <c r="G7" s="4"/>
      <c r="H7" s="6"/>
      <c r="I7" s="5"/>
      <c r="J7" s="5"/>
      <c r="K7" s="5"/>
      <c r="L7" s="5"/>
      <c r="M7" s="11" t="s">
        <v>1</v>
      </c>
    </row>
    <row r="8" spans="1:13" s="7" customFormat="1" ht="13.8" thickBot="1" x14ac:dyDescent="0.3">
      <c r="H8" s="19"/>
      <c r="I8" s="20"/>
      <c r="J8" s="20"/>
      <c r="K8" s="20"/>
      <c r="L8" s="20"/>
      <c r="M8" s="21"/>
    </row>
    <row r="9" spans="1:13" s="7" customFormat="1" ht="13.8" thickBot="1" x14ac:dyDescent="0.3">
      <c r="A9" s="13" t="s">
        <v>47</v>
      </c>
      <c r="B9" s="32"/>
      <c r="C9" s="32"/>
      <c r="D9" s="33"/>
      <c r="H9" s="19"/>
      <c r="K9" s="77" t="s">
        <v>48</v>
      </c>
      <c r="L9" s="78"/>
      <c r="M9" s="43"/>
    </row>
    <row r="10" spans="1:13" s="7" customFormat="1" ht="13.8" thickBot="1" x14ac:dyDescent="0.3">
      <c r="A10" s="30" t="s">
        <v>49</v>
      </c>
      <c r="B10" s="67">
        <v>1.5</v>
      </c>
      <c r="C10" s="22"/>
      <c r="D10" s="81">
        <f>VLOOKUP($B$10,Data!$A$9:$B$14,2,FALSE)</f>
        <v>16</v>
      </c>
      <c r="E10" s="82"/>
      <c r="F10" s="12"/>
      <c r="G10" s="100"/>
      <c r="H10" s="100"/>
      <c r="I10" s="100"/>
      <c r="J10" s="101"/>
      <c r="K10" s="134" t="s">
        <v>35</v>
      </c>
      <c r="L10" s="135"/>
      <c r="M10" s="56" t="str">
        <f>IF($B$47&gt;0.5,"FAIL",IF($B$69&gt;=$B$47,"OK","FAIL"))</f>
        <v>OK</v>
      </c>
    </row>
    <row r="11" spans="1:13" s="7" customFormat="1" ht="13.8" thickBot="1" x14ac:dyDescent="0.3">
      <c r="A11" s="16" t="s">
        <v>50</v>
      </c>
      <c r="B11" s="130">
        <v>1000</v>
      </c>
      <c r="C11" s="66"/>
      <c r="E11" s="12"/>
      <c r="F11" s="12"/>
      <c r="G11" s="100"/>
      <c r="H11" s="100"/>
      <c r="I11" s="100"/>
      <c r="J11" s="101"/>
      <c r="K11" s="136" t="s">
        <v>36</v>
      </c>
      <c r="L11" s="137"/>
      <c r="M11" s="55" t="str">
        <f>IF($M$33&lt;=200,"OK","FAIL")</f>
        <v>OK</v>
      </c>
    </row>
    <row r="12" spans="1:13" s="7" customFormat="1" ht="15.6" x14ac:dyDescent="0.25">
      <c r="A12" s="50" t="s">
        <v>52</v>
      </c>
      <c r="D12" s="51" t="str">
        <f>IF(B11&gt;3500,"Error: The Maximum Lenght in the Line is 3500 m","")</f>
        <v/>
      </c>
      <c r="H12" s="19"/>
      <c r="I12" s="20"/>
      <c r="J12" s="20"/>
      <c r="K12" s="20"/>
      <c r="L12" s="21"/>
    </row>
    <row r="13" spans="1:13" s="7" customFormat="1" x14ac:dyDescent="0.25">
      <c r="A13" s="50"/>
      <c r="D13" s="51" t="str">
        <f>IF($B$47&gt;0.5,"Error: The Loop Current is upper that Maximum Current allowed",IF($B$69&lt;$B$47,"Error: The Loop Current is upper that Maximum Current allowed",""))</f>
        <v/>
      </c>
      <c r="H13" s="19"/>
      <c r="I13" s="20"/>
      <c r="J13" s="20"/>
      <c r="K13" s="20"/>
      <c r="L13" s="21"/>
    </row>
    <row r="14" spans="1:13" s="7" customFormat="1" x14ac:dyDescent="0.25">
      <c r="A14" s="50"/>
      <c r="D14" s="51" t="str">
        <f>IF($M$33&gt;250,"Error: The Loop cannot contain more than 200 addresses","")</f>
        <v/>
      </c>
      <c r="H14" s="19"/>
      <c r="I14" s="20"/>
      <c r="J14" s="20"/>
      <c r="K14" s="20"/>
      <c r="L14" s="21"/>
    </row>
    <row r="15" spans="1:13" s="7" customFormat="1" x14ac:dyDescent="0.25">
      <c r="A15" s="50"/>
      <c r="H15" s="19"/>
      <c r="I15" s="20"/>
      <c r="J15" s="20"/>
      <c r="K15" s="20"/>
      <c r="L15" s="21"/>
    </row>
    <row r="16" spans="1:13" ht="13.8" thickBot="1" x14ac:dyDescent="0.3">
      <c r="B16" s="10" t="s">
        <v>53</v>
      </c>
      <c r="C16" s="10" t="s">
        <v>53</v>
      </c>
    </row>
    <row r="17" spans="1:13" ht="13.8" thickBot="1" x14ac:dyDescent="0.3">
      <c r="A17" s="8" t="s">
        <v>54</v>
      </c>
      <c r="B17" s="9"/>
      <c r="C17" s="9"/>
      <c r="D17" s="9"/>
      <c r="E17" s="9"/>
      <c r="F17" s="9"/>
      <c r="G17" s="9"/>
      <c r="H17" s="48"/>
      <c r="I17" s="48"/>
      <c r="J17" s="48"/>
      <c r="K17" s="48"/>
      <c r="L17" s="48"/>
      <c r="M17" s="49"/>
    </row>
    <row r="18" spans="1:13" s="7" customFormat="1" ht="13.8" thickBot="1" x14ac:dyDescent="0.3">
      <c r="A18" s="46" t="s">
        <v>55</v>
      </c>
      <c r="B18" s="47" t="s">
        <v>12</v>
      </c>
      <c r="C18" s="47" t="s">
        <v>7</v>
      </c>
      <c r="D18" s="47" t="s">
        <v>7</v>
      </c>
      <c r="E18" s="47" t="s">
        <v>56</v>
      </c>
      <c r="F18" s="47" t="s">
        <v>8</v>
      </c>
      <c r="G18" s="47" t="s">
        <v>8</v>
      </c>
      <c r="H18" s="47" t="s">
        <v>57</v>
      </c>
      <c r="I18" s="87" t="s">
        <v>58</v>
      </c>
      <c r="J18" s="87" t="s">
        <v>59</v>
      </c>
      <c r="K18" s="87" t="s">
        <v>60</v>
      </c>
      <c r="L18" s="87" t="s">
        <v>61</v>
      </c>
      <c r="M18" s="88" t="s">
        <v>62</v>
      </c>
    </row>
    <row r="19" spans="1:13" x14ac:dyDescent="0.25">
      <c r="A19" s="30" t="s">
        <v>63</v>
      </c>
      <c r="B19" s="98">
        <v>0</v>
      </c>
      <c r="C19" s="64">
        <f>0.3/1000</f>
        <v>2.9999999999999997E-4</v>
      </c>
      <c r="D19" s="72">
        <f>B19*C19</f>
        <v>0</v>
      </c>
      <c r="E19" s="83">
        <f>B19</f>
        <v>0</v>
      </c>
      <c r="F19" s="64">
        <f t="shared" ref="F19:F24" si="0">1/1000</f>
        <v>1E-3</v>
      </c>
      <c r="G19" s="72">
        <f>E19*F19</f>
        <v>0</v>
      </c>
      <c r="H19" s="25"/>
      <c r="I19" s="79"/>
      <c r="J19" s="79"/>
      <c r="K19" s="89" t="str">
        <f>IF(B19&lt;&gt;0,B19," ")</f>
        <v xml:space="preserve"> </v>
      </c>
      <c r="L19" s="79"/>
      <c r="M19" s="90" t="str">
        <f>IF(K19&lt;&gt;0,K19," ")</f>
        <v xml:space="preserve"> </v>
      </c>
    </row>
    <row r="20" spans="1:13" x14ac:dyDescent="0.25">
      <c r="A20" s="30" t="s">
        <v>64</v>
      </c>
      <c r="B20" s="98">
        <v>0</v>
      </c>
      <c r="C20" s="14">
        <v>2.9999999999999997E-4</v>
      </c>
      <c r="D20" s="72">
        <f t="shared" ref="D20:D32" si="1">B20*C20</f>
        <v>0</v>
      </c>
      <c r="E20" s="83">
        <f t="shared" ref="E20:E32" si="2">B20</f>
        <v>0</v>
      </c>
      <c r="F20" s="14">
        <f t="shared" si="0"/>
        <v>1E-3</v>
      </c>
      <c r="G20" s="72">
        <f t="shared" ref="G20:G32" si="3">E20*F20</f>
        <v>0</v>
      </c>
      <c r="H20" s="27"/>
      <c r="I20" s="79"/>
      <c r="J20" s="89" t="str">
        <f>IF(B20&lt;&gt;0,B20," ")</f>
        <v xml:space="preserve"> </v>
      </c>
      <c r="K20" s="91"/>
      <c r="L20" s="91"/>
      <c r="M20" s="90" t="str">
        <f>IF(J20&lt;&gt;0,J20," ")</f>
        <v xml:space="preserve"> </v>
      </c>
    </row>
    <row r="21" spans="1:13" x14ac:dyDescent="0.25">
      <c r="A21" s="15" t="s">
        <v>65</v>
      </c>
      <c r="B21" s="98">
        <v>0</v>
      </c>
      <c r="C21" s="14">
        <v>2.9999999999999997E-4</v>
      </c>
      <c r="D21" s="72">
        <f t="shared" si="1"/>
        <v>0</v>
      </c>
      <c r="E21" s="83">
        <f t="shared" si="2"/>
        <v>0</v>
      </c>
      <c r="F21" s="14">
        <f t="shared" si="0"/>
        <v>1E-3</v>
      </c>
      <c r="G21" s="72">
        <f t="shared" si="3"/>
        <v>0</v>
      </c>
      <c r="H21" s="27"/>
      <c r="I21" s="79"/>
      <c r="J21" s="89" t="str">
        <f>IF(B21&lt;&gt;0,B21," ")</f>
        <v xml:space="preserve"> </v>
      </c>
      <c r="K21" s="91"/>
      <c r="L21" s="91"/>
      <c r="M21" s="90" t="str">
        <f>IF(J21&lt;&gt;0,J21," ")</f>
        <v xml:space="preserve"> </v>
      </c>
    </row>
    <row r="22" spans="1:13" x14ac:dyDescent="0.25">
      <c r="A22" s="15" t="s">
        <v>66</v>
      </c>
      <c r="B22" s="98">
        <v>0</v>
      </c>
      <c r="C22" s="14">
        <v>2.9999999999999997E-4</v>
      </c>
      <c r="D22" s="72">
        <f t="shared" si="1"/>
        <v>0</v>
      </c>
      <c r="E22" s="83">
        <f t="shared" si="2"/>
        <v>0</v>
      </c>
      <c r="F22" s="14">
        <f t="shared" si="0"/>
        <v>1E-3</v>
      </c>
      <c r="G22" s="72">
        <f t="shared" si="3"/>
        <v>0</v>
      </c>
      <c r="H22" s="27"/>
      <c r="I22" s="79"/>
      <c r="J22" s="89" t="str">
        <f>IF(B22&lt;&gt;0,B22," ")</f>
        <v xml:space="preserve"> </v>
      </c>
      <c r="K22" s="91"/>
      <c r="L22" s="91"/>
      <c r="M22" s="90" t="str">
        <f>IF(J22&lt;&gt;0,J22," ")</f>
        <v xml:space="preserve"> </v>
      </c>
    </row>
    <row r="23" spans="1:13" x14ac:dyDescent="0.25">
      <c r="A23" s="15" t="s">
        <v>67</v>
      </c>
      <c r="B23" s="98">
        <v>0</v>
      </c>
      <c r="C23" s="14">
        <f t="shared" ref="C23:C28" si="4">0.25/1000</f>
        <v>2.5000000000000001E-4</v>
      </c>
      <c r="D23" s="72">
        <f t="shared" si="1"/>
        <v>0</v>
      </c>
      <c r="E23" s="83">
        <f t="shared" si="2"/>
        <v>0</v>
      </c>
      <c r="F23" s="14">
        <f t="shared" si="0"/>
        <v>1E-3</v>
      </c>
      <c r="G23" s="72">
        <f t="shared" si="3"/>
        <v>0</v>
      </c>
      <c r="H23" s="27"/>
      <c r="I23" s="79"/>
      <c r="J23" s="91"/>
      <c r="K23" s="89" t="str">
        <f>IF(B23&lt;&gt;0,B23," ")</f>
        <v xml:space="preserve"> </v>
      </c>
      <c r="L23" s="91"/>
      <c r="M23" s="90" t="str">
        <f>IF(K23&lt;&gt;0,K23," ")</f>
        <v xml:space="preserve"> </v>
      </c>
    </row>
    <row r="24" spans="1:13" x14ac:dyDescent="0.25">
      <c r="A24" s="15" t="s">
        <v>68</v>
      </c>
      <c r="B24" s="98">
        <v>0</v>
      </c>
      <c r="C24" s="14">
        <f t="shared" si="4"/>
        <v>2.5000000000000001E-4</v>
      </c>
      <c r="D24" s="72">
        <f t="shared" si="1"/>
        <v>0</v>
      </c>
      <c r="E24" s="83">
        <f t="shared" si="2"/>
        <v>0</v>
      </c>
      <c r="F24" s="14">
        <f t="shared" si="0"/>
        <v>1E-3</v>
      </c>
      <c r="G24" s="72">
        <f t="shared" si="3"/>
        <v>0</v>
      </c>
      <c r="H24" s="27"/>
      <c r="I24" s="79"/>
      <c r="J24" s="91"/>
      <c r="K24" s="89" t="str">
        <f>IF(B24&lt;&gt;0,B24," ")</f>
        <v xml:space="preserve"> </v>
      </c>
      <c r="L24" s="91"/>
      <c r="M24" s="90" t="str">
        <f>IF(K24&lt;&gt;0,K24," ")</f>
        <v xml:space="preserve"> </v>
      </c>
    </row>
    <row r="25" spans="1:13" x14ac:dyDescent="0.25">
      <c r="A25" s="15" t="s">
        <v>69</v>
      </c>
      <c r="B25" s="98">
        <v>0</v>
      </c>
      <c r="C25" s="14">
        <f t="shared" si="4"/>
        <v>2.5000000000000001E-4</v>
      </c>
      <c r="D25" s="72">
        <f t="shared" si="1"/>
        <v>0</v>
      </c>
      <c r="E25" s="83">
        <f t="shared" si="2"/>
        <v>0</v>
      </c>
      <c r="F25" s="14">
        <f>0.25/1000</f>
        <v>2.5000000000000001E-4</v>
      </c>
      <c r="G25" s="72">
        <f t="shared" si="3"/>
        <v>0</v>
      </c>
      <c r="H25" s="27"/>
      <c r="I25" s="79"/>
      <c r="J25" s="91"/>
      <c r="K25" s="89" t="str">
        <f>IF(B25&lt;&gt;0,B25," ")</f>
        <v xml:space="preserve"> </v>
      </c>
      <c r="L25" s="91"/>
      <c r="M25" s="90" t="str">
        <f>IF(K25&lt;&gt;0,K25," ")</f>
        <v xml:space="preserve"> </v>
      </c>
    </row>
    <row r="26" spans="1:13" x14ac:dyDescent="0.25">
      <c r="A26" s="15" t="s">
        <v>70</v>
      </c>
      <c r="B26" s="98">
        <v>0</v>
      </c>
      <c r="C26" s="14">
        <f t="shared" si="4"/>
        <v>2.5000000000000001E-4</v>
      </c>
      <c r="D26" s="72">
        <f t="shared" si="1"/>
        <v>0</v>
      </c>
      <c r="E26" s="83">
        <f t="shared" si="2"/>
        <v>0</v>
      </c>
      <c r="F26" s="14">
        <f>0.25/1000</f>
        <v>2.5000000000000001E-4</v>
      </c>
      <c r="G26" s="72">
        <f t="shared" si="3"/>
        <v>0</v>
      </c>
      <c r="H26" s="73" t="str">
        <f>IF(B26*G26=0," ",G26)</f>
        <v xml:space="preserve"> </v>
      </c>
      <c r="I26" s="79"/>
      <c r="J26" s="91"/>
      <c r="K26" s="91"/>
      <c r="L26" s="89" t="str">
        <f>IF(B26&lt;&gt;0,B26," ")</f>
        <v xml:space="preserve"> </v>
      </c>
      <c r="M26" s="90" t="str">
        <f>IF(L26&lt;&gt;0,L26," ")</f>
        <v xml:space="preserve"> </v>
      </c>
    </row>
    <row r="27" spans="1:13" x14ac:dyDescent="0.25">
      <c r="A27" s="15" t="s">
        <v>71</v>
      </c>
      <c r="B27" s="98">
        <v>0</v>
      </c>
      <c r="C27" s="14">
        <f t="shared" si="4"/>
        <v>2.5000000000000001E-4</v>
      </c>
      <c r="D27" s="72">
        <f t="shared" si="1"/>
        <v>0</v>
      </c>
      <c r="E27" s="83">
        <f t="shared" si="2"/>
        <v>0</v>
      </c>
      <c r="F27" s="14">
        <f>0.25/1000</f>
        <v>2.5000000000000001E-4</v>
      </c>
      <c r="G27" s="72">
        <f t="shared" si="3"/>
        <v>0</v>
      </c>
      <c r="H27" s="73" t="str">
        <f t="shared" ref="H27:H28" si="5">IF(B27*G27=0," ",G27)</f>
        <v xml:space="preserve"> </v>
      </c>
      <c r="I27" s="79"/>
      <c r="J27" s="91"/>
      <c r="K27" s="91"/>
      <c r="L27" s="89" t="str">
        <f>IF(B27&lt;&gt;0,B27," ")</f>
        <v xml:space="preserve"> </v>
      </c>
      <c r="M27" s="90" t="str">
        <f>IF(L27&lt;&gt;0,L27," ")</f>
        <v xml:space="preserve"> </v>
      </c>
    </row>
    <row r="28" spans="1:13" x14ac:dyDescent="0.25">
      <c r="A28" s="15" t="s">
        <v>72</v>
      </c>
      <c r="B28" s="98">
        <v>0</v>
      </c>
      <c r="C28" s="14">
        <f t="shared" si="4"/>
        <v>2.5000000000000001E-4</v>
      </c>
      <c r="D28" s="72">
        <f t="shared" si="1"/>
        <v>0</v>
      </c>
      <c r="E28" s="83">
        <f t="shared" si="2"/>
        <v>0</v>
      </c>
      <c r="F28" s="14">
        <f>10/1000</f>
        <v>0.01</v>
      </c>
      <c r="G28" s="72">
        <f t="shared" si="3"/>
        <v>0</v>
      </c>
      <c r="H28" s="73" t="str">
        <f t="shared" si="5"/>
        <v xml:space="preserve"> </v>
      </c>
      <c r="I28" s="79"/>
      <c r="J28" s="91"/>
      <c r="K28" s="91"/>
      <c r="L28" s="89" t="str">
        <f>IF(B28&lt;&gt;0,B28," ")</f>
        <v xml:space="preserve"> </v>
      </c>
      <c r="M28" s="90" t="str">
        <f>IF(L28&lt;&gt;0,L28," ")</f>
        <v xml:space="preserve"> </v>
      </c>
    </row>
    <row r="29" spans="1:13" x14ac:dyDescent="0.25">
      <c r="A29" s="15" t="s">
        <v>73</v>
      </c>
      <c r="B29" s="98">
        <v>0</v>
      </c>
      <c r="C29" s="14">
        <f>9/1000</f>
        <v>8.9999999999999993E-3</v>
      </c>
      <c r="D29" s="72">
        <f t="shared" si="1"/>
        <v>0</v>
      </c>
      <c r="E29" s="83">
        <f t="shared" si="2"/>
        <v>0</v>
      </c>
      <c r="F29" s="14">
        <f>46/1000</f>
        <v>4.5999999999999999E-2</v>
      </c>
      <c r="G29" s="72">
        <f t="shared" si="3"/>
        <v>0</v>
      </c>
      <c r="H29" s="27"/>
      <c r="I29" s="79"/>
      <c r="J29" s="91"/>
      <c r="K29" s="89" t="str">
        <f>IF(B29&lt;&gt;0,B29," ")</f>
        <v xml:space="preserve"> </v>
      </c>
      <c r="L29" s="91"/>
      <c r="M29" s="90" t="str">
        <f>IF(K29&lt;&gt;0,K29," ")</f>
        <v xml:space="preserve"> </v>
      </c>
    </row>
    <row r="30" spans="1:13" x14ac:dyDescent="0.25">
      <c r="A30" s="15" t="s">
        <v>74</v>
      </c>
      <c r="B30" s="98">
        <v>0</v>
      </c>
      <c r="C30" s="14">
        <f>2/1000</f>
        <v>2E-3</v>
      </c>
      <c r="D30" s="72">
        <f t="shared" si="1"/>
        <v>0</v>
      </c>
      <c r="E30" s="83">
        <f t="shared" si="2"/>
        <v>0</v>
      </c>
      <c r="F30" s="14">
        <f>2/1000</f>
        <v>2E-3</v>
      </c>
      <c r="G30" s="72">
        <f t="shared" si="3"/>
        <v>0</v>
      </c>
      <c r="H30" s="27"/>
      <c r="I30" s="79"/>
      <c r="J30" s="91"/>
      <c r="K30" s="89" t="str">
        <f>IF(B30&lt;&gt;0,B30," ")</f>
        <v xml:space="preserve"> </v>
      </c>
      <c r="L30" s="91"/>
      <c r="M30" s="90" t="str">
        <f>IF(K30&lt;&gt;0,K30," ")</f>
        <v xml:space="preserve"> </v>
      </c>
    </row>
    <row r="31" spans="1:13" x14ac:dyDescent="0.25">
      <c r="A31" s="15" t="s">
        <v>75</v>
      </c>
      <c r="B31" s="98">
        <v>0</v>
      </c>
      <c r="C31" s="14">
        <f>0.25/1000</f>
        <v>2.5000000000000001E-4</v>
      </c>
      <c r="D31" s="72">
        <f t="shared" si="1"/>
        <v>0</v>
      </c>
      <c r="E31" s="83">
        <f t="shared" si="2"/>
        <v>0</v>
      </c>
      <c r="F31" s="14">
        <f>0.25/1000</f>
        <v>2.5000000000000001E-4</v>
      </c>
      <c r="G31" s="72">
        <f t="shared" si="3"/>
        <v>0</v>
      </c>
      <c r="H31" s="27"/>
      <c r="I31" s="89" t="str">
        <f>IF(B30&lt;&gt;0,B30," ")</f>
        <v xml:space="preserve"> </v>
      </c>
      <c r="J31" s="91"/>
      <c r="K31" s="91"/>
      <c r="L31" s="91"/>
      <c r="M31" s="92"/>
    </row>
    <row r="32" spans="1:13" ht="13.8" thickBot="1" x14ac:dyDescent="0.3">
      <c r="A32" s="15" t="s">
        <v>76</v>
      </c>
      <c r="B32" s="98">
        <v>0</v>
      </c>
      <c r="C32" s="14">
        <v>6.2500000000000001E-4</v>
      </c>
      <c r="D32" s="72">
        <f t="shared" si="1"/>
        <v>0</v>
      </c>
      <c r="E32" s="83">
        <f t="shared" si="2"/>
        <v>0</v>
      </c>
      <c r="F32" s="65">
        <f>8/1000</f>
        <v>8.0000000000000002E-3</v>
      </c>
      <c r="G32" s="72">
        <f t="shared" si="3"/>
        <v>0</v>
      </c>
      <c r="H32" s="24"/>
      <c r="I32" s="79"/>
      <c r="J32" s="93"/>
      <c r="K32" s="93"/>
      <c r="L32" s="94"/>
      <c r="M32" s="95"/>
    </row>
    <row r="33" spans="1:13" s="7" customFormat="1" ht="13.8" thickBot="1" x14ac:dyDescent="0.3">
      <c r="A33" s="13" t="s">
        <v>77</v>
      </c>
      <c r="B33" s="96">
        <f>SUM(B19:B32)</f>
        <v>0</v>
      </c>
      <c r="C33" s="70"/>
      <c r="D33" s="69">
        <f>SUM(D19:D32)</f>
        <v>0</v>
      </c>
      <c r="E33" s="69">
        <f>SUM(E19:E31)</f>
        <v>0</v>
      </c>
      <c r="F33" s="69"/>
      <c r="G33" s="69">
        <f t="shared" ref="G33:M33" si="6">SUM(G19:G32)</f>
        <v>0</v>
      </c>
      <c r="H33" s="69">
        <f t="shared" si="6"/>
        <v>0</v>
      </c>
      <c r="I33" s="96">
        <f>SUM(I19:I32)</f>
        <v>0</v>
      </c>
      <c r="J33" s="96">
        <f t="shared" si="6"/>
        <v>0</v>
      </c>
      <c r="K33" s="96">
        <f t="shared" si="6"/>
        <v>0</v>
      </c>
      <c r="L33" s="96">
        <f t="shared" si="6"/>
        <v>0</v>
      </c>
      <c r="M33" s="97">
        <f t="shared" si="6"/>
        <v>0</v>
      </c>
    </row>
    <row r="34" spans="1:13" s="7" customFormat="1" x14ac:dyDescent="0.25">
      <c r="B34" s="34"/>
      <c r="C34" s="35"/>
      <c r="D34" s="51" t="str">
        <f>IF(M33&gt;200,"Error: The Loop cannot contain more than 200 addresses","")</f>
        <v/>
      </c>
      <c r="E34" s="37"/>
      <c r="F34" s="36"/>
      <c r="G34" s="36"/>
      <c r="H34" s="36"/>
      <c r="I34" s="36"/>
      <c r="J34" s="36"/>
      <c r="K34" s="34"/>
      <c r="L34" s="34"/>
    </row>
    <row r="35" spans="1:13" s="7" customFormat="1" x14ac:dyDescent="0.25">
      <c r="A35" s="50"/>
      <c r="D35" s="51" t="str">
        <f>IF(B28&gt;30,"Error: The Loop cannot contain more than 30 Loop Sounders in 1.000 meters","")</f>
        <v/>
      </c>
      <c r="H35" s="19"/>
      <c r="I35" s="20"/>
      <c r="J35" s="20"/>
      <c r="K35" s="20"/>
      <c r="L35" s="21"/>
    </row>
    <row r="36" spans="1:13" s="7" customFormat="1" x14ac:dyDescent="0.25">
      <c r="A36" s="50"/>
      <c r="D36" s="51" t="str">
        <f>IF(AND(B11&gt;1000,B28&gt;19),"Error: The Loop cannot contain more than 19 Loop Sounders in 2.000 meters","")</f>
        <v/>
      </c>
      <c r="H36" s="19"/>
      <c r="I36" s="20"/>
      <c r="J36" s="20"/>
      <c r="K36" s="20"/>
      <c r="L36" s="21"/>
    </row>
    <row r="37" spans="1:13" s="7" customFormat="1" x14ac:dyDescent="0.25">
      <c r="A37" s="50"/>
      <c r="D37" s="51" t="str">
        <f>IF(AND(B29&gt;6),"Error: The Loop cannot contain more than 6 Zone Modules Powered from the Loop","")</f>
        <v/>
      </c>
      <c r="H37" s="19"/>
      <c r="I37" s="20"/>
      <c r="J37" s="20"/>
      <c r="K37" s="20"/>
      <c r="L37" s="21"/>
    </row>
    <row r="38" spans="1:13" s="7" customFormat="1" x14ac:dyDescent="0.25">
      <c r="B38" s="34"/>
      <c r="C38" s="35"/>
      <c r="D38" s="71" t="str">
        <f>IF(OR(B25&gt;0,B27&gt;0,B30&gt;0),"Info: External 24V needed. EN 54-4 certificate."," ")</f>
        <v xml:space="preserve"> </v>
      </c>
      <c r="E38" s="37"/>
      <c r="F38" s="36"/>
      <c r="G38" s="36"/>
      <c r="H38" s="36"/>
      <c r="I38" s="36"/>
      <c r="J38" s="36"/>
      <c r="K38" s="34"/>
      <c r="L38" s="34"/>
    </row>
    <row r="39" spans="1:13" s="7" customFormat="1" x14ac:dyDescent="0.25">
      <c r="B39" s="34"/>
      <c r="C39" s="35"/>
      <c r="D39" s="71" t="str">
        <f>IF(OR(B25&gt;0,B27&gt;0,B30&gt;0),"        Control Panel could provide from 24Vaux,"," ")</f>
        <v xml:space="preserve"> </v>
      </c>
      <c r="E39" s="37"/>
      <c r="F39" s="36"/>
      <c r="G39" s="36"/>
      <c r="H39" s="36"/>
      <c r="I39" s="36"/>
      <c r="J39" s="36"/>
      <c r="K39" s="34"/>
      <c r="L39" s="34"/>
    </row>
    <row r="40" spans="1:13" s="7" customFormat="1" x14ac:dyDescent="0.25">
      <c r="B40" s="34"/>
      <c r="C40" s="35"/>
      <c r="D40" s="71" t="str">
        <f>IF(OR(B25&gt;0,B27&gt;0,B30&gt;0),"         if 2A maximum current isn't exceeded."," ")</f>
        <v xml:space="preserve"> </v>
      </c>
      <c r="E40" s="37"/>
      <c r="F40" s="36"/>
      <c r="G40" s="36"/>
      <c r="H40" s="36"/>
      <c r="I40" s="36"/>
      <c r="J40" s="36"/>
      <c r="K40" s="34"/>
      <c r="L40" s="34"/>
    </row>
    <row r="41" spans="1:13" ht="14.4" customHeight="1" thickBot="1" x14ac:dyDescent="0.3">
      <c r="E41" s="17"/>
      <c r="K41" s="51"/>
    </row>
    <row r="42" spans="1:13" ht="14.4" customHeight="1" thickBot="1" x14ac:dyDescent="0.3">
      <c r="A42" s="13" t="s">
        <v>78</v>
      </c>
      <c r="B42" s="41"/>
      <c r="C42" s="41"/>
      <c r="D42" s="42"/>
      <c r="E42" s="17"/>
    </row>
    <row r="43" spans="1:13" ht="14.4" customHeight="1" x14ac:dyDescent="0.25">
      <c r="A43" s="30" t="s">
        <v>79</v>
      </c>
      <c r="B43" s="45">
        <v>1.72E-2</v>
      </c>
      <c r="C43" s="25"/>
      <c r="D43" s="31" t="s">
        <v>80</v>
      </c>
      <c r="E43" s="17"/>
    </row>
    <row r="44" spans="1:13" ht="14.4" customHeight="1" x14ac:dyDescent="0.25">
      <c r="A44" s="15" t="s">
        <v>81</v>
      </c>
      <c r="B44" s="74">
        <f>D33</f>
        <v>0</v>
      </c>
      <c r="C44" s="27"/>
      <c r="D44" s="29" t="s">
        <v>82</v>
      </c>
      <c r="E44" s="17"/>
    </row>
    <row r="45" spans="1:13" ht="14.4" customHeight="1" x14ac:dyDescent="0.25">
      <c r="A45" s="15" t="s">
        <v>83</v>
      </c>
      <c r="B45" s="74">
        <f>G33-H33</f>
        <v>0</v>
      </c>
      <c r="C45" s="27"/>
      <c r="D45" s="29" t="s">
        <v>82</v>
      </c>
      <c r="E45" s="17"/>
    </row>
    <row r="46" spans="1:13" ht="14.4" customHeight="1" x14ac:dyDescent="0.25">
      <c r="A46" s="15" t="s">
        <v>84</v>
      </c>
      <c r="B46" s="74">
        <f>H33</f>
        <v>0</v>
      </c>
      <c r="C46" s="27"/>
      <c r="D46" s="29" t="s">
        <v>82</v>
      </c>
      <c r="E46" s="17"/>
    </row>
    <row r="47" spans="1:13" ht="14.4" customHeight="1" x14ac:dyDescent="0.25">
      <c r="A47" s="15" t="s">
        <v>21</v>
      </c>
      <c r="B47" s="74">
        <f>SUM(B44:B46)</f>
        <v>0</v>
      </c>
      <c r="C47" s="27"/>
      <c r="D47" s="29" t="s">
        <v>82</v>
      </c>
      <c r="E47" s="17"/>
    </row>
    <row r="48" spans="1:13" ht="14.4" customHeight="1" thickBot="1" x14ac:dyDescent="0.3">
      <c r="A48" s="16" t="s">
        <v>85</v>
      </c>
      <c r="B48" s="39">
        <v>6.9</v>
      </c>
      <c r="C48" s="39"/>
      <c r="D48" s="18" t="s">
        <v>86</v>
      </c>
      <c r="E48" s="17"/>
    </row>
    <row r="49" spans="1:12" ht="14.4" customHeight="1" thickBot="1" x14ac:dyDescent="0.3">
      <c r="A49" s="12"/>
      <c r="E49" s="17"/>
    </row>
    <row r="50" spans="1:12" ht="14.4" customHeight="1" thickBot="1" x14ac:dyDescent="0.3">
      <c r="A50" s="8" t="s">
        <v>87</v>
      </c>
      <c r="B50" s="48"/>
      <c r="C50" s="48"/>
      <c r="D50" s="48"/>
      <c r="E50" s="84"/>
      <c r="F50" s="48"/>
      <c r="G50" s="48"/>
      <c r="H50" s="48"/>
      <c r="I50" s="48"/>
      <c r="J50" s="48"/>
      <c r="K50" s="49"/>
      <c r="L50" s="52"/>
    </row>
    <row r="51" spans="1:12" ht="14.4" customHeight="1" x14ac:dyDescent="0.25">
      <c r="A51" s="62" t="s">
        <v>88</v>
      </c>
      <c r="B51" s="79">
        <v>1000</v>
      </c>
      <c r="C51" s="79"/>
      <c r="D51" s="79">
        <v>1500</v>
      </c>
      <c r="E51" s="85"/>
      <c r="F51" s="79"/>
      <c r="G51" s="79">
        <v>2000</v>
      </c>
      <c r="H51" s="79">
        <v>2500</v>
      </c>
      <c r="I51" s="79">
        <v>3000</v>
      </c>
      <c r="J51" s="80">
        <v>3500</v>
      </c>
      <c r="K51" s="53" t="s">
        <v>89</v>
      </c>
    </row>
    <row r="52" spans="1:12" ht="14.4" customHeight="1" x14ac:dyDescent="0.25">
      <c r="A52" s="26" t="s">
        <v>90</v>
      </c>
      <c r="B52" s="75">
        <f>((($B$43*B51)/B54)*2)</f>
        <v>68.8</v>
      </c>
      <c r="C52" s="75">
        <f t="shared" ref="C52:J52" si="7">((($B$43*C51)/C54)*2)</f>
        <v>0</v>
      </c>
      <c r="D52" s="75">
        <f t="shared" si="7"/>
        <v>103.2</v>
      </c>
      <c r="E52" s="75">
        <f t="shared" si="7"/>
        <v>0</v>
      </c>
      <c r="F52" s="75">
        <f t="shared" si="7"/>
        <v>0</v>
      </c>
      <c r="G52" s="75">
        <f t="shared" si="7"/>
        <v>137.6</v>
      </c>
      <c r="H52" s="75">
        <f t="shared" si="7"/>
        <v>172</v>
      </c>
      <c r="I52" s="75">
        <f t="shared" si="7"/>
        <v>206.4</v>
      </c>
      <c r="J52" s="75">
        <f t="shared" si="7"/>
        <v>240.8</v>
      </c>
      <c r="K52" s="54" t="s">
        <v>91</v>
      </c>
    </row>
    <row r="53" spans="1:12" ht="14.4" customHeight="1" thickBot="1" x14ac:dyDescent="0.3">
      <c r="A53" s="61" t="s">
        <v>92</v>
      </c>
      <c r="B53" s="75">
        <f>B52/2</f>
        <v>34.4</v>
      </c>
      <c r="C53" s="75">
        <f t="shared" ref="C53:J53" si="8">C52/2</f>
        <v>0</v>
      </c>
      <c r="D53" s="75">
        <f t="shared" si="8"/>
        <v>51.6</v>
      </c>
      <c r="E53" s="75">
        <f t="shared" si="8"/>
        <v>0</v>
      </c>
      <c r="F53" s="75">
        <f t="shared" si="8"/>
        <v>0</v>
      </c>
      <c r="G53" s="75">
        <f t="shared" si="8"/>
        <v>68.8</v>
      </c>
      <c r="H53" s="75">
        <f t="shared" si="8"/>
        <v>86</v>
      </c>
      <c r="I53" s="75">
        <f t="shared" si="8"/>
        <v>103.2</v>
      </c>
      <c r="J53" s="75">
        <f t="shared" si="8"/>
        <v>120.4</v>
      </c>
      <c r="K53" s="60" t="s">
        <v>91</v>
      </c>
    </row>
    <row r="54" spans="1:12" ht="14.4" customHeight="1" thickBot="1" x14ac:dyDescent="0.3">
      <c r="A54" s="13" t="s">
        <v>93</v>
      </c>
      <c r="B54" s="63">
        <f>IF(IFERROR((($B$43*B$51)/(($B$48)/$B$47)),0)&lt;0.5,0.5,IFERROR((($B$43*B$51)/(($B$48)/$B$47)),0))</f>
        <v>0.5</v>
      </c>
      <c r="C54" s="63">
        <f t="shared" ref="C54:J54" si="9">IF(IFERROR((($B$43*C$51)/(($B$48)/$B$47)),0)&lt;0.5,0.5,IFERROR((($B$43*C$51)/(($B$48)/$B$47)),0))</f>
        <v>0.5</v>
      </c>
      <c r="D54" s="63">
        <f t="shared" si="9"/>
        <v>0.5</v>
      </c>
      <c r="E54" s="63">
        <f t="shared" si="9"/>
        <v>0.5</v>
      </c>
      <c r="F54" s="63">
        <f t="shared" si="9"/>
        <v>0.5</v>
      </c>
      <c r="G54" s="63">
        <f t="shared" si="9"/>
        <v>0.5</v>
      </c>
      <c r="H54" s="63">
        <f t="shared" si="9"/>
        <v>0.5</v>
      </c>
      <c r="I54" s="63">
        <f t="shared" si="9"/>
        <v>0.5</v>
      </c>
      <c r="J54" s="63">
        <f t="shared" si="9"/>
        <v>0.5</v>
      </c>
      <c r="K54" s="28" t="s">
        <v>94</v>
      </c>
    </row>
    <row r="55" spans="1:12" ht="14.4" customHeight="1" x14ac:dyDescent="0.25">
      <c r="A55" s="12"/>
      <c r="B55" s="52" t="s">
        <v>95</v>
      </c>
      <c r="D55" s="52"/>
      <c r="E55" s="17"/>
    </row>
    <row r="56" spans="1:12" ht="14.4" customHeight="1" thickBot="1" x14ac:dyDescent="0.3">
      <c r="A56" s="12"/>
      <c r="E56" s="17"/>
    </row>
    <row r="57" spans="1:12" ht="14.4" customHeight="1" thickBot="1" x14ac:dyDescent="0.3">
      <c r="A57" s="8" t="s">
        <v>96</v>
      </c>
      <c r="B57" s="48"/>
      <c r="C57" s="48"/>
      <c r="D57" s="48"/>
      <c r="E57" s="84"/>
      <c r="F57" s="48"/>
      <c r="G57" s="48"/>
      <c r="H57" s="48"/>
      <c r="I57" s="48"/>
      <c r="J57" s="48"/>
      <c r="K57" s="49"/>
      <c r="L57" s="52"/>
    </row>
    <row r="58" spans="1:12" ht="14.4" customHeight="1" x14ac:dyDescent="0.25">
      <c r="A58" s="53" t="s">
        <v>97</v>
      </c>
      <c r="B58" s="23">
        <v>0.5</v>
      </c>
      <c r="C58" s="25"/>
      <c r="D58" s="25">
        <v>0.75</v>
      </c>
      <c r="E58" s="86"/>
      <c r="F58" s="25"/>
      <c r="G58" s="25">
        <v>1</v>
      </c>
      <c r="H58" s="25">
        <v>1.5</v>
      </c>
      <c r="I58" s="25">
        <v>2.5</v>
      </c>
      <c r="J58" s="58">
        <v>4</v>
      </c>
      <c r="K58" s="53" t="s">
        <v>98</v>
      </c>
    </row>
    <row r="59" spans="1:12" ht="14.4" customHeight="1" x14ac:dyDescent="0.25">
      <c r="A59" s="57" t="s">
        <v>90</v>
      </c>
      <c r="B59" s="75">
        <f t="shared" ref="B59:J59" si="10">$B$43*B61/B58*2</f>
        <v>240.8</v>
      </c>
      <c r="C59" s="75" t="e">
        <f t="shared" si="10"/>
        <v>#DIV/0!</v>
      </c>
      <c r="D59" s="75">
        <f t="shared" si="10"/>
        <v>160.53333333333333</v>
      </c>
      <c r="E59" s="75" t="e">
        <f t="shared" si="10"/>
        <v>#DIV/0!</v>
      </c>
      <c r="F59" s="75" t="e">
        <f t="shared" si="10"/>
        <v>#DIV/0!</v>
      </c>
      <c r="G59" s="75">
        <f t="shared" si="10"/>
        <v>120.4</v>
      </c>
      <c r="H59" s="75">
        <f t="shared" si="10"/>
        <v>80.266666666666666</v>
      </c>
      <c r="I59" s="75">
        <f t="shared" si="10"/>
        <v>48.160000000000004</v>
      </c>
      <c r="J59" s="75">
        <f t="shared" si="10"/>
        <v>30.1</v>
      </c>
      <c r="K59" s="54" t="s">
        <v>91</v>
      </c>
    </row>
    <row r="60" spans="1:12" ht="14.4" customHeight="1" thickBot="1" x14ac:dyDescent="0.3">
      <c r="A60" s="59" t="s">
        <v>92</v>
      </c>
      <c r="B60" s="75">
        <f>B59/2</f>
        <v>120.4</v>
      </c>
      <c r="C60" s="75" t="e">
        <f t="shared" ref="C60:J60" si="11">C59/2</f>
        <v>#DIV/0!</v>
      </c>
      <c r="D60" s="75">
        <f t="shared" si="11"/>
        <v>80.266666666666666</v>
      </c>
      <c r="E60" s="75" t="e">
        <f t="shared" si="11"/>
        <v>#DIV/0!</v>
      </c>
      <c r="F60" s="75" t="e">
        <f t="shared" si="11"/>
        <v>#DIV/0!</v>
      </c>
      <c r="G60" s="75">
        <f t="shared" si="11"/>
        <v>60.2</v>
      </c>
      <c r="H60" s="75">
        <f t="shared" si="11"/>
        <v>40.133333333333333</v>
      </c>
      <c r="I60" s="75">
        <f t="shared" si="11"/>
        <v>24.080000000000002</v>
      </c>
      <c r="J60" s="75">
        <f t="shared" si="11"/>
        <v>15.05</v>
      </c>
      <c r="K60" s="60" t="s">
        <v>91</v>
      </c>
    </row>
    <row r="61" spans="1:12" ht="14.4" customHeight="1" thickBot="1" x14ac:dyDescent="0.3">
      <c r="A61" s="28" t="s">
        <v>99</v>
      </c>
      <c r="B61" s="63">
        <f>IF(IFERROR((((($B$48)/$B$47)*B$58)/$B$43),9999)&gt;3500,3500,IFERROR((((($B$48)/$B$47)*B$58)/$B$43),9999))</f>
        <v>3500</v>
      </c>
      <c r="C61" s="63">
        <f t="shared" ref="C61:J61" si="12">IF(IFERROR((((($B$48)/$B$47)*C$58)/$B$43),9999)&gt;3500,3500,IFERROR((((($B$48)/$B$47)*C$58)/$B$43),9999))</f>
        <v>3500</v>
      </c>
      <c r="D61" s="63">
        <f t="shared" si="12"/>
        <v>3500</v>
      </c>
      <c r="E61" s="63">
        <f t="shared" si="12"/>
        <v>3500</v>
      </c>
      <c r="F61" s="63">
        <f t="shared" si="12"/>
        <v>3500</v>
      </c>
      <c r="G61" s="63">
        <f t="shared" si="12"/>
        <v>3500</v>
      </c>
      <c r="H61" s="63">
        <f t="shared" si="12"/>
        <v>3500</v>
      </c>
      <c r="I61" s="63">
        <f t="shared" si="12"/>
        <v>3500</v>
      </c>
      <c r="J61" s="63">
        <f t="shared" si="12"/>
        <v>3500</v>
      </c>
      <c r="K61" s="28" t="s">
        <v>89</v>
      </c>
    </row>
    <row r="62" spans="1:12" ht="14.4" customHeight="1" x14ac:dyDescent="0.25">
      <c r="A62" s="12"/>
      <c r="B62" s="52" t="s">
        <v>100</v>
      </c>
      <c r="D62" s="52"/>
      <c r="E62" s="17"/>
    </row>
    <row r="63" spans="1:12" ht="14.4" customHeight="1" thickBot="1" x14ac:dyDescent="0.3">
      <c r="A63" s="12"/>
      <c r="E63" s="17"/>
    </row>
    <row r="64" spans="1:12" ht="14.4" customHeight="1" thickBot="1" x14ac:dyDescent="0.3">
      <c r="A64" s="8" t="s">
        <v>101</v>
      </c>
      <c r="B64" s="48"/>
      <c r="C64" s="48"/>
      <c r="D64" s="49"/>
      <c r="E64" s="17"/>
    </row>
    <row r="65" spans="1:12" ht="14.4" customHeight="1" x14ac:dyDescent="0.25">
      <c r="A65" s="30" t="s">
        <v>102</v>
      </c>
      <c r="B65" s="76">
        <f>$B$10</f>
        <v>1.5</v>
      </c>
      <c r="C65" s="25"/>
      <c r="D65" s="31" t="s">
        <v>98</v>
      </c>
      <c r="E65" s="17"/>
      <c r="H65" s="51" t="str">
        <f>IF(B65&lt;0.5,"Error: The Minimum Cable Seccion in the Loop is 0,5 mm2","")</f>
        <v/>
      </c>
    </row>
    <row r="66" spans="1:12" ht="14.4" customHeight="1" x14ac:dyDescent="0.25">
      <c r="A66" s="15" t="s">
        <v>103</v>
      </c>
      <c r="B66" s="89">
        <f>$B$11</f>
        <v>1000</v>
      </c>
      <c r="C66" s="27"/>
      <c r="D66" s="29" t="s">
        <v>51</v>
      </c>
      <c r="E66" s="17"/>
      <c r="H66" s="51" t="str">
        <f>IF(B66&gt;3500,"Error: The Maximum Lenght in the Line is 3500 meters","")</f>
        <v/>
      </c>
    </row>
    <row r="67" spans="1:12" ht="14.4" customHeight="1" x14ac:dyDescent="0.25">
      <c r="A67" s="15" t="s">
        <v>104</v>
      </c>
      <c r="B67" s="89">
        <f>((($B$43*B66)/B65)*2)</f>
        <v>22.933333333333334</v>
      </c>
      <c r="C67" s="27"/>
      <c r="D67" s="38" t="s">
        <v>91</v>
      </c>
      <c r="E67" s="17"/>
    </row>
    <row r="68" spans="1:12" ht="14.4" customHeight="1" thickBot="1" x14ac:dyDescent="0.3">
      <c r="A68" s="16" t="s">
        <v>105</v>
      </c>
      <c r="B68" s="99">
        <f>B67/2</f>
        <v>11.466666666666667</v>
      </c>
      <c r="C68" s="39"/>
      <c r="D68" s="40" t="s">
        <v>91</v>
      </c>
      <c r="E68" s="17"/>
    </row>
    <row r="69" spans="1:12" ht="14.4" customHeight="1" x14ac:dyDescent="0.25">
      <c r="A69" s="105" t="s">
        <v>106</v>
      </c>
      <c r="B69" s="106">
        <f>$B$48/$B$68</f>
        <v>0.6017441860465117</v>
      </c>
      <c r="C69" s="107"/>
      <c r="D69" s="106" t="s">
        <v>82</v>
      </c>
      <c r="E69" s="17"/>
    </row>
    <row r="70" spans="1:12" ht="14.4" customHeight="1" thickBot="1" x14ac:dyDescent="0.3">
      <c r="A70" s="102"/>
      <c r="B70" s="103"/>
      <c r="C70" s="104"/>
      <c r="D70" s="103"/>
      <c r="E70" s="17"/>
    </row>
    <row r="71" spans="1:12" ht="14.4" customHeight="1" thickBot="1" x14ac:dyDescent="0.3">
      <c r="A71" s="8" t="s">
        <v>48</v>
      </c>
      <c r="B71" s="48"/>
      <c r="C71" s="48"/>
      <c r="D71" s="49"/>
      <c r="E71" s="17"/>
    </row>
    <row r="72" spans="1:12" ht="14.4" customHeight="1" thickBot="1" x14ac:dyDescent="0.3">
      <c r="A72" s="8" t="s">
        <v>35</v>
      </c>
      <c r="B72" s="49"/>
      <c r="D72" s="56" t="str">
        <f>IF($B$47&gt;0.5,"FAIL",IF($B$69&gt;=$B$47,"OK","FAIL"))</f>
        <v>OK</v>
      </c>
      <c r="E72" s="17"/>
      <c r="G72" s="51"/>
      <c r="H72" s="51"/>
    </row>
    <row r="73" spans="1:12" ht="14.4" customHeight="1" thickBot="1" x14ac:dyDescent="0.3">
      <c r="A73" s="8" t="s">
        <v>36</v>
      </c>
      <c r="B73" s="49"/>
      <c r="C73" s="44"/>
      <c r="D73" s="55" t="str">
        <f>IF($M$33&lt;=200,"OK","FAIL")</f>
        <v>OK</v>
      </c>
      <c r="E73" s="17"/>
      <c r="G73" s="51"/>
      <c r="H73" s="51"/>
    </row>
    <row r="74" spans="1:12" ht="14.4" customHeight="1" x14ac:dyDescent="0.25">
      <c r="A74" s="12"/>
      <c r="D74" s="51" t="str">
        <f>IF($B$47&gt;0.5,"Error: The Loop Current is upper that Maximum Current allowed",IF($B$69&lt;$B$47,"Error: The Loop Current is upper that Maximum Current allowed",""))</f>
        <v/>
      </c>
      <c r="E74" s="17"/>
    </row>
    <row r="75" spans="1:12" ht="14.4" customHeight="1" x14ac:dyDescent="0.25">
      <c r="A75" s="12"/>
      <c r="D75" s="51" t="str">
        <f>IF($M$33&gt;200,"Error: The Loop cannot contain more than 200 addresses","")</f>
        <v/>
      </c>
      <c r="E75" s="17"/>
    </row>
    <row r="77" spans="1:12" ht="27" customHeight="1" x14ac:dyDescent="0.25">
      <c r="A77" s="133" t="s">
        <v>45</v>
      </c>
      <c r="B77" s="133"/>
      <c r="C77" s="133"/>
      <c r="D77" s="133"/>
      <c r="E77" s="133"/>
      <c r="F77" s="133"/>
      <c r="G77" s="133"/>
      <c r="H77" s="133"/>
      <c r="I77" s="133"/>
      <c r="J77" s="133"/>
      <c r="K77" s="133"/>
      <c r="L77" s="133"/>
    </row>
  </sheetData>
  <sheetProtection sheet="1" sort="0" autoFilter="0" pivotTables="0"/>
  <mergeCells count="3">
    <mergeCell ref="K10:L10"/>
    <mergeCell ref="K11:L11"/>
    <mergeCell ref="A77:L77"/>
  </mergeCells>
  <conditionalFormatting sqref="B11">
    <cfRule type="cellIs" dxfId="107" priority="1" operator="greaterThan">
      <formula>3500</formula>
    </cfRule>
  </conditionalFormatting>
  <conditionalFormatting sqref="B19:B32">
    <cfRule type="cellIs" dxfId="106" priority="11" operator="greaterThan">
      <formula>200</formula>
    </cfRule>
  </conditionalFormatting>
  <conditionalFormatting sqref="B28">
    <cfRule type="cellIs" dxfId="105" priority="2" operator="greaterThan">
      <formula>30</formula>
    </cfRule>
  </conditionalFormatting>
  <conditionalFormatting sqref="B44:B47">
    <cfRule type="cellIs" dxfId="104" priority="7" operator="greaterThan">
      <formula>0.5</formula>
    </cfRule>
  </conditionalFormatting>
  <conditionalFormatting sqref="B54">
    <cfRule type="containsErrors" dxfId="103" priority="24">
      <formula>ISERROR(B54)</formula>
    </cfRule>
  </conditionalFormatting>
  <conditionalFormatting sqref="B61">
    <cfRule type="containsErrors" dxfId="102" priority="15">
      <formula>ISERROR(B61)</formula>
    </cfRule>
  </conditionalFormatting>
  <conditionalFormatting sqref="B52:J53">
    <cfRule type="containsErrors" dxfId="101" priority="18">
      <formula>ISERROR(B52)</formula>
    </cfRule>
  </conditionalFormatting>
  <conditionalFormatting sqref="B59:J60">
    <cfRule type="containsErrors" dxfId="100" priority="17">
      <formula>ISERROR(B59)</formula>
    </cfRule>
  </conditionalFormatting>
  <conditionalFormatting sqref="D38:D40">
    <cfRule type="expression" dxfId="99" priority="9" stopIfTrue="1">
      <formula>#REF!&gt;2</formula>
    </cfRule>
    <cfRule type="expression" dxfId="98" priority="10" stopIfTrue="1">
      <formula>#REF!&lt;3</formula>
    </cfRule>
  </conditionalFormatting>
  <conditionalFormatting sqref="D72:D73">
    <cfRule type="cellIs" dxfId="97" priority="21" stopIfTrue="1" operator="equal">
      <formula>"FAIL"</formula>
    </cfRule>
  </conditionalFormatting>
  <conditionalFormatting sqref="D33:H33">
    <cfRule type="cellIs" dxfId="96" priority="6" operator="greaterThan">
      <formula>0.5</formula>
    </cfRule>
  </conditionalFormatting>
  <conditionalFormatting sqref="D54:J54">
    <cfRule type="containsErrors" dxfId="95" priority="16">
      <formula>ISERROR(D54)</formula>
    </cfRule>
  </conditionalFormatting>
  <conditionalFormatting sqref="D61:J61">
    <cfRule type="containsErrors" dxfId="94" priority="14">
      <formula>ISERROR(D61)</formula>
    </cfRule>
  </conditionalFormatting>
  <conditionalFormatting sqref="I31">
    <cfRule type="cellIs" dxfId="93" priority="3" operator="equal">
      <formula>0</formula>
    </cfRule>
  </conditionalFormatting>
  <conditionalFormatting sqref="I33:M33">
    <cfRule type="cellIs" dxfId="92" priority="5" operator="greaterThan">
      <formula>200</formula>
    </cfRule>
  </conditionalFormatting>
  <conditionalFormatting sqref="K19:K32">
    <cfRule type="cellIs" dxfId="91" priority="13" operator="equal">
      <formula>0</formula>
    </cfRule>
  </conditionalFormatting>
  <conditionalFormatting sqref="M10:M11">
    <cfRule type="cellIs" dxfId="90" priority="19" stopIfTrue="1" operator="equal">
      <formula>"FAIL"</formula>
    </cfRule>
  </conditionalFormatting>
  <pageMargins left="0.78740157480314965" right="0.39370078740157483" top="0.39370078740157483" bottom="0.39370078740157483" header="0" footer="0"/>
  <pageSetup paperSize="9" scale="60" orientation="portrait" horizontalDpi="1200" verticalDpi="1200" r:id="rId1"/>
  <headerFooter alignWithMargins="0">
    <oddHeader>&amp;L&amp;F&amp;R&amp;A</oddHeader>
    <oddFooter>&amp;L&amp;P / &amp;N&amp;R&amp;D&amp;T</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8BE8B578-A17A-4616-90B4-4C85006DAEE9}">
          <x14:formula1>
            <xm:f>Data!$A$9:$A$14</xm:f>
          </x14:formula1>
          <xm:sqref>B10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ECDCD-CF6C-4AB2-9C71-36126997E972}">
  <sheetPr>
    <pageSetUpPr fitToPage="1"/>
  </sheetPr>
  <dimension ref="A1:M77"/>
  <sheetViews>
    <sheetView zoomScale="130" zoomScaleNormal="130" workbookViewId="0"/>
  </sheetViews>
  <sheetFormatPr defaultColWidth="11.44140625" defaultRowHeight="13.2" x14ac:dyDescent="0.25"/>
  <cols>
    <col min="1" max="1" width="64.6640625" customWidth="1"/>
    <col min="2" max="2" width="10.6640625" customWidth="1"/>
    <col min="3" max="3" width="12.6640625" hidden="1" customWidth="1"/>
    <col min="4" max="4" width="12.6640625" customWidth="1"/>
    <col min="5" max="6" width="12.6640625" hidden="1" customWidth="1"/>
    <col min="7" max="7" width="10.5546875" customWidth="1"/>
    <col min="8" max="8" width="14.6640625" customWidth="1"/>
    <col min="9" max="12" width="6.6640625" customWidth="1"/>
    <col min="13" max="14" width="11.5546875" customWidth="1"/>
  </cols>
  <sheetData>
    <row r="1" spans="1:13" ht="15" customHeight="1" x14ac:dyDescent="0.25">
      <c r="C1" s="68" t="s">
        <v>46</v>
      </c>
      <c r="E1" s="68" t="s">
        <v>46</v>
      </c>
      <c r="F1" s="68" t="s">
        <v>46</v>
      </c>
      <c r="H1" s="1"/>
      <c r="I1" s="2"/>
      <c r="J1" s="2"/>
      <c r="K1" s="2"/>
      <c r="L1" s="2"/>
    </row>
    <row r="2" spans="1:13" ht="15" customHeight="1" x14ac:dyDescent="0.25">
      <c r="H2" s="1"/>
      <c r="I2" s="2"/>
      <c r="J2" s="2"/>
      <c r="K2" s="2"/>
      <c r="L2" s="2"/>
    </row>
    <row r="3" spans="1:13" ht="15" customHeight="1" x14ac:dyDescent="0.25">
      <c r="H3" s="1"/>
      <c r="I3" s="2"/>
      <c r="J3" s="2"/>
      <c r="K3" s="2"/>
      <c r="L3" s="2"/>
    </row>
    <row r="4" spans="1:13" ht="15" customHeight="1" x14ac:dyDescent="0.25">
      <c r="H4" s="1"/>
      <c r="I4" s="2"/>
      <c r="J4" s="2"/>
      <c r="K4" s="2"/>
      <c r="L4" s="2"/>
    </row>
    <row r="5" spans="1:13" ht="15" customHeight="1" x14ac:dyDescent="0.3">
      <c r="A5" s="3"/>
      <c r="H5" s="1"/>
      <c r="I5" s="2"/>
      <c r="J5" s="2"/>
      <c r="K5" s="2"/>
      <c r="L5" s="2"/>
    </row>
    <row r="6" spans="1:13" ht="15" customHeight="1" x14ac:dyDescent="0.3">
      <c r="A6" s="3"/>
      <c r="H6" s="1"/>
      <c r="I6" s="2"/>
      <c r="J6" s="2"/>
      <c r="K6" s="2"/>
      <c r="L6" s="2"/>
    </row>
    <row r="7" spans="1:13" s="7" customFormat="1" ht="13.8" thickBot="1" x14ac:dyDescent="0.3">
      <c r="A7" s="4" t="s">
        <v>0</v>
      </c>
      <c r="B7" s="4"/>
      <c r="C7" s="4"/>
      <c r="D7" s="4"/>
      <c r="E7" s="4"/>
      <c r="F7" s="4"/>
      <c r="G7" s="4"/>
      <c r="H7" s="6"/>
      <c r="I7" s="5"/>
      <c r="J7" s="5"/>
      <c r="K7" s="5"/>
      <c r="L7" s="5"/>
      <c r="M7" s="11" t="s">
        <v>1</v>
      </c>
    </row>
    <row r="8" spans="1:13" s="7" customFormat="1" ht="13.8" thickBot="1" x14ac:dyDescent="0.3">
      <c r="H8" s="19"/>
      <c r="I8" s="20"/>
      <c r="J8" s="20"/>
      <c r="K8" s="20"/>
      <c r="L8" s="20"/>
      <c r="M8" s="21"/>
    </row>
    <row r="9" spans="1:13" s="7" customFormat="1" ht="13.8" thickBot="1" x14ac:dyDescent="0.3">
      <c r="A9" s="13" t="s">
        <v>47</v>
      </c>
      <c r="B9" s="32"/>
      <c r="C9" s="32"/>
      <c r="D9" s="33"/>
      <c r="H9" s="19"/>
      <c r="K9" s="77" t="s">
        <v>48</v>
      </c>
      <c r="L9" s="78"/>
      <c r="M9" s="43"/>
    </row>
    <row r="10" spans="1:13" s="7" customFormat="1" ht="13.8" thickBot="1" x14ac:dyDescent="0.3">
      <c r="A10" s="30" t="s">
        <v>49</v>
      </c>
      <c r="B10" s="67">
        <v>1.5</v>
      </c>
      <c r="C10" s="22"/>
      <c r="D10" s="81">
        <f>VLOOKUP($B$10,Data!$A$9:$B$14,2,FALSE)</f>
        <v>16</v>
      </c>
      <c r="E10" s="82"/>
      <c r="F10" s="12"/>
      <c r="G10" s="100"/>
      <c r="H10" s="100"/>
      <c r="I10" s="100"/>
      <c r="J10" s="101"/>
      <c r="K10" s="134" t="s">
        <v>35</v>
      </c>
      <c r="L10" s="135"/>
      <c r="M10" s="56" t="str">
        <f>IF($B$47&gt;0.5,"FAIL",IF($B$69&gt;=$B$47,"OK","FAIL"))</f>
        <v>OK</v>
      </c>
    </row>
    <row r="11" spans="1:13" s="7" customFormat="1" ht="13.8" thickBot="1" x14ac:dyDescent="0.3">
      <c r="A11" s="16" t="s">
        <v>50</v>
      </c>
      <c r="B11" s="130">
        <v>1000</v>
      </c>
      <c r="C11" s="66"/>
      <c r="E11" s="12"/>
      <c r="F11" s="12"/>
      <c r="G11" s="100"/>
      <c r="H11" s="100"/>
      <c r="I11" s="100"/>
      <c r="J11" s="101"/>
      <c r="K11" s="136" t="s">
        <v>36</v>
      </c>
      <c r="L11" s="137"/>
      <c r="M11" s="55" t="str">
        <f>IF($M$33&lt;=200,"OK","FAIL")</f>
        <v>OK</v>
      </c>
    </row>
    <row r="12" spans="1:13" s="7" customFormat="1" ht="15.6" x14ac:dyDescent="0.25">
      <c r="A12" s="50" t="s">
        <v>52</v>
      </c>
      <c r="D12" s="51" t="str">
        <f>IF(B11&gt;3500,"Error: The Maximum Lenght in the Line is 3500 m","")</f>
        <v/>
      </c>
      <c r="H12" s="19"/>
      <c r="I12" s="20"/>
      <c r="J12" s="20"/>
      <c r="K12" s="20"/>
      <c r="L12" s="21"/>
    </row>
    <row r="13" spans="1:13" s="7" customFormat="1" x14ac:dyDescent="0.25">
      <c r="A13" s="50"/>
      <c r="D13" s="51" t="str">
        <f>IF($B$47&gt;0.5,"Error: The Loop Current is upper that Maximum Current allowed",IF($B$69&lt;$B$47,"Error: The Loop Current is upper that Maximum Current allowed",""))</f>
        <v/>
      </c>
      <c r="H13" s="19"/>
      <c r="I13" s="20"/>
      <c r="J13" s="20"/>
      <c r="K13" s="20"/>
      <c r="L13" s="21"/>
    </row>
    <row r="14" spans="1:13" s="7" customFormat="1" x14ac:dyDescent="0.25">
      <c r="A14" s="50"/>
      <c r="D14" s="51" t="str">
        <f>IF($M$33&gt;250,"Error: The Loop cannot contain more than 200 addresses","")</f>
        <v/>
      </c>
      <c r="H14" s="19"/>
      <c r="I14" s="20"/>
      <c r="J14" s="20"/>
      <c r="K14" s="20"/>
      <c r="L14" s="21"/>
    </row>
    <row r="15" spans="1:13" s="7" customFormat="1" x14ac:dyDescent="0.25">
      <c r="A15" s="50"/>
      <c r="H15" s="19"/>
      <c r="I15" s="20"/>
      <c r="J15" s="20"/>
      <c r="K15" s="20"/>
      <c r="L15" s="21"/>
    </row>
    <row r="16" spans="1:13" ht="13.8" thickBot="1" x14ac:dyDescent="0.3">
      <c r="B16" s="10" t="s">
        <v>53</v>
      </c>
      <c r="C16" s="10" t="s">
        <v>53</v>
      </c>
    </row>
    <row r="17" spans="1:13" ht="13.8" thickBot="1" x14ac:dyDescent="0.3">
      <c r="A17" s="8" t="s">
        <v>54</v>
      </c>
      <c r="B17" s="9"/>
      <c r="C17" s="9"/>
      <c r="D17" s="9"/>
      <c r="E17" s="9"/>
      <c r="F17" s="9"/>
      <c r="G17" s="9"/>
      <c r="H17" s="48"/>
      <c r="I17" s="48"/>
      <c r="J17" s="48"/>
      <c r="K17" s="48"/>
      <c r="L17" s="48"/>
      <c r="M17" s="49"/>
    </row>
    <row r="18" spans="1:13" s="7" customFormat="1" ht="13.8" thickBot="1" x14ac:dyDescent="0.3">
      <c r="A18" s="46" t="s">
        <v>55</v>
      </c>
      <c r="B18" s="47" t="s">
        <v>12</v>
      </c>
      <c r="C18" s="47" t="s">
        <v>7</v>
      </c>
      <c r="D18" s="47" t="s">
        <v>7</v>
      </c>
      <c r="E18" s="47" t="s">
        <v>56</v>
      </c>
      <c r="F18" s="47" t="s">
        <v>8</v>
      </c>
      <c r="G18" s="47" t="s">
        <v>8</v>
      </c>
      <c r="H18" s="47" t="s">
        <v>57</v>
      </c>
      <c r="I18" s="87" t="s">
        <v>58</v>
      </c>
      <c r="J18" s="87" t="s">
        <v>59</v>
      </c>
      <c r="K18" s="87" t="s">
        <v>60</v>
      </c>
      <c r="L18" s="87" t="s">
        <v>61</v>
      </c>
      <c r="M18" s="88" t="s">
        <v>62</v>
      </c>
    </row>
    <row r="19" spans="1:13" x14ac:dyDescent="0.25">
      <c r="A19" s="30" t="s">
        <v>63</v>
      </c>
      <c r="B19" s="98">
        <v>0</v>
      </c>
      <c r="C19" s="64">
        <f>0.3/1000</f>
        <v>2.9999999999999997E-4</v>
      </c>
      <c r="D19" s="72">
        <f>B19*C19</f>
        <v>0</v>
      </c>
      <c r="E19" s="83">
        <f>B19</f>
        <v>0</v>
      </c>
      <c r="F19" s="64">
        <f t="shared" ref="F19:F24" si="0">1/1000</f>
        <v>1E-3</v>
      </c>
      <c r="G19" s="72">
        <f>E19*F19</f>
        <v>0</v>
      </c>
      <c r="H19" s="25"/>
      <c r="I19" s="79"/>
      <c r="J19" s="79"/>
      <c r="K19" s="89" t="str">
        <f>IF(B19&lt;&gt;0,B19," ")</f>
        <v xml:space="preserve"> </v>
      </c>
      <c r="L19" s="79"/>
      <c r="M19" s="90" t="str">
        <f>IF(K19&lt;&gt;0,K19," ")</f>
        <v xml:space="preserve"> </v>
      </c>
    </row>
    <row r="20" spans="1:13" x14ac:dyDescent="0.25">
      <c r="A20" s="30" t="s">
        <v>64</v>
      </c>
      <c r="B20" s="98">
        <v>0</v>
      </c>
      <c r="C20" s="14">
        <v>2.9999999999999997E-4</v>
      </c>
      <c r="D20" s="72">
        <f t="shared" ref="D20:D32" si="1">B20*C20</f>
        <v>0</v>
      </c>
      <c r="E20" s="83">
        <f t="shared" ref="E20:E32" si="2">B20</f>
        <v>0</v>
      </c>
      <c r="F20" s="14">
        <f t="shared" si="0"/>
        <v>1E-3</v>
      </c>
      <c r="G20" s="72">
        <f t="shared" ref="G20:G32" si="3">E20*F20</f>
        <v>0</v>
      </c>
      <c r="H20" s="27"/>
      <c r="I20" s="79"/>
      <c r="J20" s="89" t="str">
        <f>IF(B20&lt;&gt;0,B20," ")</f>
        <v xml:space="preserve"> </v>
      </c>
      <c r="K20" s="91"/>
      <c r="L20" s="91"/>
      <c r="M20" s="90" t="str">
        <f>IF(J20&lt;&gt;0,J20," ")</f>
        <v xml:space="preserve"> </v>
      </c>
    </row>
    <row r="21" spans="1:13" x14ac:dyDescent="0.25">
      <c r="A21" s="15" t="s">
        <v>65</v>
      </c>
      <c r="B21" s="98">
        <v>0</v>
      </c>
      <c r="C21" s="14">
        <v>2.9999999999999997E-4</v>
      </c>
      <c r="D21" s="72">
        <f t="shared" si="1"/>
        <v>0</v>
      </c>
      <c r="E21" s="83">
        <f t="shared" si="2"/>
        <v>0</v>
      </c>
      <c r="F21" s="14">
        <f t="shared" si="0"/>
        <v>1E-3</v>
      </c>
      <c r="G21" s="72">
        <f t="shared" si="3"/>
        <v>0</v>
      </c>
      <c r="H21" s="27"/>
      <c r="I21" s="79"/>
      <c r="J21" s="89" t="str">
        <f>IF(B21&lt;&gt;0,B21," ")</f>
        <v xml:space="preserve"> </v>
      </c>
      <c r="K21" s="91"/>
      <c r="L21" s="91"/>
      <c r="M21" s="90" t="str">
        <f>IF(J21&lt;&gt;0,J21," ")</f>
        <v xml:space="preserve"> </v>
      </c>
    </row>
    <row r="22" spans="1:13" x14ac:dyDescent="0.25">
      <c r="A22" s="15" t="s">
        <v>66</v>
      </c>
      <c r="B22" s="98">
        <v>0</v>
      </c>
      <c r="C22" s="14">
        <v>2.9999999999999997E-4</v>
      </c>
      <c r="D22" s="72">
        <f t="shared" si="1"/>
        <v>0</v>
      </c>
      <c r="E22" s="83">
        <f t="shared" si="2"/>
        <v>0</v>
      </c>
      <c r="F22" s="14">
        <f t="shared" si="0"/>
        <v>1E-3</v>
      </c>
      <c r="G22" s="72">
        <f t="shared" si="3"/>
        <v>0</v>
      </c>
      <c r="H22" s="27"/>
      <c r="I22" s="79"/>
      <c r="J22" s="89" t="str">
        <f>IF(B22&lt;&gt;0,B22," ")</f>
        <v xml:space="preserve"> </v>
      </c>
      <c r="K22" s="91"/>
      <c r="L22" s="91"/>
      <c r="M22" s="90" t="str">
        <f>IF(J22&lt;&gt;0,J22," ")</f>
        <v xml:space="preserve"> </v>
      </c>
    </row>
    <row r="23" spans="1:13" x14ac:dyDescent="0.25">
      <c r="A23" s="15" t="s">
        <v>67</v>
      </c>
      <c r="B23" s="98">
        <v>0</v>
      </c>
      <c r="C23" s="14">
        <f t="shared" ref="C23:C28" si="4">0.25/1000</f>
        <v>2.5000000000000001E-4</v>
      </c>
      <c r="D23" s="72">
        <f t="shared" si="1"/>
        <v>0</v>
      </c>
      <c r="E23" s="83">
        <f t="shared" si="2"/>
        <v>0</v>
      </c>
      <c r="F23" s="14">
        <f t="shared" si="0"/>
        <v>1E-3</v>
      </c>
      <c r="G23" s="72">
        <f t="shared" si="3"/>
        <v>0</v>
      </c>
      <c r="H23" s="27"/>
      <c r="I23" s="79"/>
      <c r="J23" s="91"/>
      <c r="K23" s="89" t="str">
        <f>IF(B23&lt;&gt;0,B23," ")</f>
        <v xml:space="preserve"> </v>
      </c>
      <c r="L23" s="91"/>
      <c r="M23" s="90" t="str">
        <f>IF(K23&lt;&gt;0,K23," ")</f>
        <v xml:space="preserve"> </v>
      </c>
    </row>
    <row r="24" spans="1:13" x14ac:dyDescent="0.25">
      <c r="A24" s="15" t="s">
        <v>68</v>
      </c>
      <c r="B24" s="98">
        <v>0</v>
      </c>
      <c r="C24" s="14">
        <f t="shared" si="4"/>
        <v>2.5000000000000001E-4</v>
      </c>
      <c r="D24" s="72">
        <f t="shared" si="1"/>
        <v>0</v>
      </c>
      <c r="E24" s="83">
        <f t="shared" si="2"/>
        <v>0</v>
      </c>
      <c r="F24" s="14">
        <f t="shared" si="0"/>
        <v>1E-3</v>
      </c>
      <c r="G24" s="72">
        <f t="shared" si="3"/>
        <v>0</v>
      </c>
      <c r="H24" s="27"/>
      <c r="I24" s="79"/>
      <c r="J24" s="91"/>
      <c r="K24" s="89" t="str">
        <f>IF(B24&lt;&gt;0,B24," ")</f>
        <v xml:space="preserve"> </v>
      </c>
      <c r="L24" s="91"/>
      <c r="M24" s="90" t="str">
        <f>IF(K24&lt;&gt;0,K24," ")</f>
        <v xml:space="preserve"> </v>
      </c>
    </row>
    <row r="25" spans="1:13" x14ac:dyDescent="0.25">
      <c r="A25" s="15" t="s">
        <v>69</v>
      </c>
      <c r="B25" s="98">
        <v>0</v>
      </c>
      <c r="C25" s="14">
        <f t="shared" si="4"/>
        <v>2.5000000000000001E-4</v>
      </c>
      <c r="D25" s="72">
        <f t="shared" si="1"/>
        <v>0</v>
      </c>
      <c r="E25" s="83">
        <f t="shared" si="2"/>
        <v>0</v>
      </c>
      <c r="F25" s="14">
        <f>0.25/1000</f>
        <v>2.5000000000000001E-4</v>
      </c>
      <c r="G25" s="72">
        <f t="shared" si="3"/>
        <v>0</v>
      </c>
      <c r="H25" s="27"/>
      <c r="I25" s="79"/>
      <c r="J25" s="91"/>
      <c r="K25" s="89" t="str">
        <f>IF(B25&lt;&gt;0,B25," ")</f>
        <v xml:space="preserve"> </v>
      </c>
      <c r="L25" s="91"/>
      <c r="M25" s="90" t="str">
        <f>IF(K25&lt;&gt;0,K25," ")</f>
        <v xml:space="preserve"> </v>
      </c>
    </row>
    <row r="26" spans="1:13" x14ac:dyDescent="0.25">
      <c r="A26" s="15" t="s">
        <v>70</v>
      </c>
      <c r="B26" s="98">
        <v>0</v>
      </c>
      <c r="C26" s="14">
        <f t="shared" si="4"/>
        <v>2.5000000000000001E-4</v>
      </c>
      <c r="D26" s="72">
        <f t="shared" si="1"/>
        <v>0</v>
      </c>
      <c r="E26" s="83">
        <f t="shared" si="2"/>
        <v>0</v>
      </c>
      <c r="F26" s="14">
        <f>0.25/1000</f>
        <v>2.5000000000000001E-4</v>
      </c>
      <c r="G26" s="72">
        <f t="shared" si="3"/>
        <v>0</v>
      </c>
      <c r="H26" s="73" t="str">
        <f>IF(B26*G26=0," ",G26)</f>
        <v xml:space="preserve"> </v>
      </c>
      <c r="I26" s="79"/>
      <c r="J26" s="91"/>
      <c r="K26" s="91"/>
      <c r="L26" s="89" t="str">
        <f>IF(B26&lt;&gt;0,B26," ")</f>
        <v xml:space="preserve"> </v>
      </c>
      <c r="M26" s="90" t="str">
        <f>IF(L26&lt;&gt;0,L26," ")</f>
        <v xml:space="preserve"> </v>
      </c>
    </row>
    <row r="27" spans="1:13" x14ac:dyDescent="0.25">
      <c r="A27" s="15" t="s">
        <v>71</v>
      </c>
      <c r="B27" s="98">
        <v>0</v>
      </c>
      <c r="C27" s="14">
        <f t="shared" si="4"/>
        <v>2.5000000000000001E-4</v>
      </c>
      <c r="D27" s="72">
        <f t="shared" si="1"/>
        <v>0</v>
      </c>
      <c r="E27" s="83">
        <f t="shared" si="2"/>
        <v>0</v>
      </c>
      <c r="F27" s="14">
        <f>0.25/1000</f>
        <v>2.5000000000000001E-4</v>
      </c>
      <c r="G27" s="72">
        <f t="shared" si="3"/>
        <v>0</v>
      </c>
      <c r="H27" s="73" t="str">
        <f t="shared" ref="H27:H28" si="5">IF(B27*G27=0," ",G27)</f>
        <v xml:space="preserve"> </v>
      </c>
      <c r="I27" s="79"/>
      <c r="J27" s="91"/>
      <c r="K27" s="91"/>
      <c r="L27" s="89" t="str">
        <f>IF(B27&lt;&gt;0,B27," ")</f>
        <v xml:space="preserve"> </v>
      </c>
      <c r="M27" s="90" t="str">
        <f>IF(L27&lt;&gt;0,L27," ")</f>
        <v xml:space="preserve"> </v>
      </c>
    </row>
    <row r="28" spans="1:13" x14ac:dyDescent="0.25">
      <c r="A28" s="15" t="s">
        <v>72</v>
      </c>
      <c r="B28" s="98">
        <v>0</v>
      </c>
      <c r="C28" s="14">
        <f t="shared" si="4"/>
        <v>2.5000000000000001E-4</v>
      </c>
      <c r="D28" s="72">
        <f t="shared" si="1"/>
        <v>0</v>
      </c>
      <c r="E28" s="83">
        <f t="shared" si="2"/>
        <v>0</v>
      </c>
      <c r="F28" s="14">
        <f>10/1000</f>
        <v>0.01</v>
      </c>
      <c r="G28" s="72">
        <f t="shared" si="3"/>
        <v>0</v>
      </c>
      <c r="H28" s="73" t="str">
        <f t="shared" si="5"/>
        <v xml:space="preserve"> </v>
      </c>
      <c r="I28" s="79"/>
      <c r="J28" s="91"/>
      <c r="K28" s="91"/>
      <c r="L28" s="89" t="str">
        <f>IF(B28&lt;&gt;0,B28," ")</f>
        <v xml:space="preserve"> </v>
      </c>
      <c r="M28" s="90" t="str">
        <f>IF(L28&lt;&gt;0,L28," ")</f>
        <v xml:space="preserve"> </v>
      </c>
    </row>
    <row r="29" spans="1:13" x14ac:dyDescent="0.25">
      <c r="A29" s="15" t="s">
        <v>73</v>
      </c>
      <c r="B29" s="98">
        <v>0</v>
      </c>
      <c r="C29" s="14">
        <f>9/1000</f>
        <v>8.9999999999999993E-3</v>
      </c>
      <c r="D29" s="72">
        <f t="shared" si="1"/>
        <v>0</v>
      </c>
      <c r="E29" s="83">
        <f t="shared" si="2"/>
        <v>0</v>
      </c>
      <c r="F29" s="14">
        <f>46/1000</f>
        <v>4.5999999999999999E-2</v>
      </c>
      <c r="G29" s="72">
        <f t="shared" si="3"/>
        <v>0</v>
      </c>
      <c r="H29" s="27"/>
      <c r="I29" s="79"/>
      <c r="J29" s="91"/>
      <c r="K29" s="89" t="str">
        <f>IF(B29&lt;&gt;0,B29," ")</f>
        <v xml:space="preserve"> </v>
      </c>
      <c r="L29" s="91"/>
      <c r="M29" s="90" t="str">
        <f>IF(K29&lt;&gt;0,K29," ")</f>
        <v xml:space="preserve"> </v>
      </c>
    </row>
    <row r="30" spans="1:13" x14ac:dyDescent="0.25">
      <c r="A30" s="15" t="s">
        <v>74</v>
      </c>
      <c r="B30" s="98">
        <v>0</v>
      </c>
      <c r="C30" s="14">
        <f>2/1000</f>
        <v>2E-3</v>
      </c>
      <c r="D30" s="72">
        <f t="shared" si="1"/>
        <v>0</v>
      </c>
      <c r="E30" s="83">
        <f t="shared" si="2"/>
        <v>0</v>
      </c>
      <c r="F30" s="14">
        <f>2/1000</f>
        <v>2E-3</v>
      </c>
      <c r="G30" s="72">
        <f t="shared" si="3"/>
        <v>0</v>
      </c>
      <c r="H30" s="27"/>
      <c r="I30" s="79"/>
      <c r="J30" s="91"/>
      <c r="K30" s="89" t="str">
        <f>IF(B30&lt;&gt;0,B30," ")</f>
        <v xml:space="preserve"> </v>
      </c>
      <c r="L30" s="91"/>
      <c r="M30" s="90" t="str">
        <f>IF(K30&lt;&gt;0,K30," ")</f>
        <v xml:space="preserve"> </v>
      </c>
    </row>
    <row r="31" spans="1:13" x14ac:dyDescent="0.25">
      <c r="A31" s="15" t="s">
        <v>75</v>
      </c>
      <c r="B31" s="98">
        <v>0</v>
      </c>
      <c r="C31" s="14">
        <f>0.25/1000</f>
        <v>2.5000000000000001E-4</v>
      </c>
      <c r="D31" s="72">
        <f t="shared" si="1"/>
        <v>0</v>
      </c>
      <c r="E31" s="83">
        <f t="shared" si="2"/>
        <v>0</v>
      </c>
      <c r="F31" s="14">
        <f>0.25/1000</f>
        <v>2.5000000000000001E-4</v>
      </c>
      <c r="G31" s="72">
        <f t="shared" si="3"/>
        <v>0</v>
      </c>
      <c r="H31" s="27"/>
      <c r="I31" s="89" t="str">
        <f>IF(B30&lt;&gt;0,B30," ")</f>
        <v xml:space="preserve"> </v>
      </c>
      <c r="J31" s="91"/>
      <c r="K31" s="91"/>
      <c r="L31" s="91"/>
      <c r="M31" s="92"/>
    </row>
    <row r="32" spans="1:13" ht="13.8" thickBot="1" x14ac:dyDescent="0.3">
      <c r="A32" s="15" t="s">
        <v>76</v>
      </c>
      <c r="B32" s="98">
        <v>0</v>
      </c>
      <c r="C32" s="14">
        <v>6.2500000000000001E-4</v>
      </c>
      <c r="D32" s="72">
        <f t="shared" si="1"/>
        <v>0</v>
      </c>
      <c r="E32" s="83">
        <f t="shared" si="2"/>
        <v>0</v>
      </c>
      <c r="F32" s="65">
        <f>8/1000</f>
        <v>8.0000000000000002E-3</v>
      </c>
      <c r="G32" s="72">
        <f t="shared" si="3"/>
        <v>0</v>
      </c>
      <c r="H32" s="24"/>
      <c r="I32" s="79"/>
      <c r="J32" s="93"/>
      <c r="K32" s="93"/>
      <c r="L32" s="94"/>
      <c r="M32" s="95"/>
    </row>
    <row r="33" spans="1:13" s="7" customFormat="1" ht="13.8" thickBot="1" x14ac:dyDescent="0.3">
      <c r="A33" s="13" t="s">
        <v>77</v>
      </c>
      <c r="B33" s="96">
        <f>SUM(B19:B32)</f>
        <v>0</v>
      </c>
      <c r="C33" s="70"/>
      <c r="D33" s="69">
        <f>SUM(D19:D32)</f>
        <v>0</v>
      </c>
      <c r="E33" s="69">
        <f>SUM(E19:E31)</f>
        <v>0</v>
      </c>
      <c r="F33" s="69"/>
      <c r="G33" s="69">
        <f t="shared" ref="G33:M33" si="6">SUM(G19:G32)</f>
        <v>0</v>
      </c>
      <c r="H33" s="69">
        <f t="shared" si="6"/>
        <v>0</v>
      </c>
      <c r="I33" s="96">
        <f>SUM(I19:I32)</f>
        <v>0</v>
      </c>
      <c r="J33" s="96">
        <f t="shared" si="6"/>
        <v>0</v>
      </c>
      <c r="K33" s="96">
        <f t="shared" si="6"/>
        <v>0</v>
      </c>
      <c r="L33" s="96">
        <f t="shared" si="6"/>
        <v>0</v>
      </c>
      <c r="M33" s="97">
        <f t="shared" si="6"/>
        <v>0</v>
      </c>
    </row>
    <row r="34" spans="1:13" s="7" customFormat="1" x14ac:dyDescent="0.25">
      <c r="B34" s="34"/>
      <c r="C34" s="35"/>
      <c r="D34" s="51" t="str">
        <f>IF(M33&gt;200,"Error: The Loop cannot contain more than 200 addresses","")</f>
        <v/>
      </c>
      <c r="E34" s="37"/>
      <c r="F34" s="36"/>
      <c r="G34" s="36"/>
      <c r="H34" s="36"/>
      <c r="I34" s="36"/>
      <c r="J34" s="36"/>
      <c r="K34" s="34"/>
      <c r="L34" s="34"/>
    </row>
    <row r="35" spans="1:13" s="7" customFormat="1" x14ac:dyDescent="0.25">
      <c r="A35" s="50"/>
      <c r="D35" s="51" t="str">
        <f>IF(B28&gt;30,"Error: The Loop cannot contain more than 30 Loop Sounders in 1.000 meters","")</f>
        <v/>
      </c>
      <c r="H35" s="19"/>
      <c r="I35" s="20"/>
      <c r="J35" s="20"/>
      <c r="K35" s="20"/>
      <c r="L35" s="21"/>
    </row>
    <row r="36" spans="1:13" s="7" customFormat="1" x14ac:dyDescent="0.25">
      <c r="A36" s="50"/>
      <c r="D36" s="51" t="str">
        <f>IF(AND(B11&gt;1000,B28&gt;19),"Error: The Loop cannot contain more than 19 Loop Sounders in 2.000 meters","")</f>
        <v/>
      </c>
      <c r="H36" s="19"/>
      <c r="I36" s="20"/>
      <c r="J36" s="20"/>
      <c r="K36" s="20"/>
      <c r="L36" s="21"/>
    </row>
    <row r="37" spans="1:13" s="7" customFormat="1" x14ac:dyDescent="0.25">
      <c r="A37" s="50"/>
      <c r="D37" s="51" t="str">
        <f>IF(AND(B29&gt;6),"Error: The Loop cannot contain more than 6 Zone Modules Powered from the Loop","")</f>
        <v/>
      </c>
      <c r="H37" s="19"/>
      <c r="I37" s="20"/>
      <c r="J37" s="20"/>
      <c r="K37" s="20"/>
      <c r="L37" s="21"/>
    </row>
    <row r="38" spans="1:13" s="7" customFormat="1" x14ac:dyDescent="0.25">
      <c r="B38" s="34"/>
      <c r="C38" s="35"/>
      <c r="D38" s="71" t="str">
        <f>IF(OR(B25&gt;0,B27&gt;0,B30&gt;0),"Info: External 24V needed. EN 54-4 certificate."," ")</f>
        <v xml:space="preserve"> </v>
      </c>
      <c r="E38" s="37"/>
      <c r="F38" s="36"/>
      <c r="G38" s="36"/>
      <c r="H38" s="36"/>
      <c r="I38" s="36"/>
      <c r="J38" s="36"/>
      <c r="K38" s="34"/>
      <c r="L38" s="34"/>
    </row>
    <row r="39" spans="1:13" s="7" customFormat="1" x14ac:dyDescent="0.25">
      <c r="B39" s="34"/>
      <c r="C39" s="35"/>
      <c r="D39" s="71" t="str">
        <f>IF(OR(B25&gt;0,B27&gt;0,B30&gt;0),"        Control Panel could provide from 24Vaux,"," ")</f>
        <v xml:space="preserve"> </v>
      </c>
      <c r="E39" s="37"/>
      <c r="F39" s="36"/>
      <c r="G39" s="36"/>
      <c r="H39" s="36"/>
      <c r="I39" s="36"/>
      <c r="J39" s="36"/>
      <c r="K39" s="34"/>
      <c r="L39" s="34"/>
    </row>
    <row r="40" spans="1:13" s="7" customFormat="1" x14ac:dyDescent="0.25">
      <c r="B40" s="34"/>
      <c r="C40" s="35"/>
      <c r="D40" s="71" t="str">
        <f>IF(OR(B25&gt;0,B27&gt;0,B30&gt;0),"         if 2A maximum current isn't exceeded."," ")</f>
        <v xml:space="preserve"> </v>
      </c>
      <c r="E40" s="37"/>
      <c r="F40" s="36"/>
      <c r="G40" s="36"/>
      <c r="H40" s="36"/>
      <c r="I40" s="36"/>
      <c r="J40" s="36"/>
      <c r="K40" s="34"/>
      <c r="L40" s="34"/>
    </row>
    <row r="41" spans="1:13" ht="14.4" customHeight="1" thickBot="1" x14ac:dyDescent="0.3">
      <c r="E41" s="17"/>
      <c r="K41" s="51"/>
    </row>
    <row r="42" spans="1:13" ht="14.4" customHeight="1" thickBot="1" x14ac:dyDescent="0.3">
      <c r="A42" s="13" t="s">
        <v>78</v>
      </c>
      <c r="B42" s="41"/>
      <c r="C42" s="41"/>
      <c r="D42" s="42"/>
      <c r="E42" s="17"/>
    </row>
    <row r="43" spans="1:13" ht="14.4" customHeight="1" x14ac:dyDescent="0.25">
      <c r="A43" s="30" t="s">
        <v>79</v>
      </c>
      <c r="B43" s="45">
        <v>1.72E-2</v>
      </c>
      <c r="C43" s="25"/>
      <c r="D43" s="31" t="s">
        <v>80</v>
      </c>
      <c r="E43" s="17"/>
    </row>
    <row r="44" spans="1:13" ht="14.4" customHeight="1" x14ac:dyDescent="0.25">
      <c r="A44" s="15" t="s">
        <v>81</v>
      </c>
      <c r="B44" s="74">
        <f>D33</f>
        <v>0</v>
      </c>
      <c r="C44" s="27"/>
      <c r="D44" s="29" t="s">
        <v>82</v>
      </c>
      <c r="E44" s="17"/>
    </row>
    <row r="45" spans="1:13" ht="14.4" customHeight="1" x14ac:dyDescent="0.25">
      <c r="A45" s="15" t="s">
        <v>83</v>
      </c>
      <c r="B45" s="74">
        <f>G33-H33</f>
        <v>0</v>
      </c>
      <c r="C45" s="27"/>
      <c r="D45" s="29" t="s">
        <v>82</v>
      </c>
      <c r="E45" s="17"/>
    </row>
    <row r="46" spans="1:13" ht="14.4" customHeight="1" x14ac:dyDescent="0.25">
      <c r="A46" s="15" t="s">
        <v>84</v>
      </c>
      <c r="B46" s="74">
        <f>H33</f>
        <v>0</v>
      </c>
      <c r="C46" s="27"/>
      <c r="D46" s="29" t="s">
        <v>82</v>
      </c>
      <c r="E46" s="17"/>
    </row>
    <row r="47" spans="1:13" ht="14.4" customHeight="1" x14ac:dyDescent="0.25">
      <c r="A47" s="15" t="s">
        <v>21</v>
      </c>
      <c r="B47" s="74">
        <f>SUM(B44:B46)</f>
        <v>0</v>
      </c>
      <c r="C47" s="27"/>
      <c r="D47" s="29" t="s">
        <v>82</v>
      </c>
      <c r="E47" s="17"/>
    </row>
    <row r="48" spans="1:13" ht="14.4" customHeight="1" thickBot="1" x14ac:dyDescent="0.3">
      <c r="A48" s="16" t="s">
        <v>85</v>
      </c>
      <c r="B48" s="39">
        <v>6.9</v>
      </c>
      <c r="C48" s="39"/>
      <c r="D48" s="18" t="s">
        <v>86</v>
      </c>
      <c r="E48" s="17"/>
    </row>
    <row r="49" spans="1:12" ht="14.4" customHeight="1" thickBot="1" x14ac:dyDescent="0.3">
      <c r="A49" s="12"/>
      <c r="E49" s="17"/>
    </row>
    <row r="50" spans="1:12" ht="14.4" customHeight="1" thickBot="1" x14ac:dyDescent="0.3">
      <c r="A50" s="8" t="s">
        <v>87</v>
      </c>
      <c r="B50" s="48"/>
      <c r="C50" s="48"/>
      <c r="D50" s="48"/>
      <c r="E50" s="84"/>
      <c r="F50" s="48"/>
      <c r="G50" s="48"/>
      <c r="H50" s="48"/>
      <c r="I50" s="48"/>
      <c r="J50" s="48"/>
      <c r="K50" s="49"/>
      <c r="L50" s="52"/>
    </row>
    <row r="51" spans="1:12" ht="14.4" customHeight="1" x14ac:dyDescent="0.25">
      <c r="A51" s="62" t="s">
        <v>88</v>
      </c>
      <c r="B51" s="79">
        <v>1000</v>
      </c>
      <c r="C51" s="79"/>
      <c r="D51" s="79">
        <v>1500</v>
      </c>
      <c r="E51" s="85"/>
      <c r="F51" s="79"/>
      <c r="G51" s="79">
        <v>2000</v>
      </c>
      <c r="H51" s="79">
        <v>2500</v>
      </c>
      <c r="I51" s="79">
        <v>3000</v>
      </c>
      <c r="J51" s="80">
        <v>3500</v>
      </c>
      <c r="K51" s="53" t="s">
        <v>89</v>
      </c>
    </row>
    <row r="52" spans="1:12" ht="14.4" customHeight="1" x14ac:dyDescent="0.25">
      <c r="A52" s="26" t="s">
        <v>90</v>
      </c>
      <c r="B52" s="75">
        <f>((($B$43*B51)/B54)*2)</f>
        <v>68.8</v>
      </c>
      <c r="C52" s="75">
        <f t="shared" ref="C52:J52" si="7">((($B$43*C51)/C54)*2)</f>
        <v>0</v>
      </c>
      <c r="D52" s="75">
        <f t="shared" si="7"/>
        <v>103.2</v>
      </c>
      <c r="E52" s="75">
        <f t="shared" si="7"/>
        <v>0</v>
      </c>
      <c r="F52" s="75">
        <f t="shared" si="7"/>
        <v>0</v>
      </c>
      <c r="G52" s="75">
        <f t="shared" si="7"/>
        <v>137.6</v>
      </c>
      <c r="H52" s="75">
        <f t="shared" si="7"/>
        <v>172</v>
      </c>
      <c r="I52" s="75">
        <f t="shared" si="7"/>
        <v>206.4</v>
      </c>
      <c r="J52" s="75">
        <f t="shared" si="7"/>
        <v>240.8</v>
      </c>
      <c r="K52" s="54" t="s">
        <v>91</v>
      </c>
    </row>
    <row r="53" spans="1:12" ht="14.4" customHeight="1" thickBot="1" x14ac:dyDescent="0.3">
      <c r="A53" s="61" t="s">
        <v>92</v>
      </c>
      <c r="B53" s="75">
        <f>B52/2</f>
        <v>34.4</v>
      </c>
      <c r="C53" s="75">
        <f t="shared" ref="C53:J53" si="8">C52/2</f>
        <v>0</v>
      </c>
      <c r="D53" s="75">
        <f t="shared" si="8"/>
        <v>51.6</v>
      </c>
      <c r="E53" s="75">
        <f t="shared" si="8"/>
        <v>0</v>
      </c>
      <c r="F53" s="75">
        <f t="shared" si="8"/>
        <v>0</v>
      </c>
      <c r="G53" s="75">
        <f t="shared" si="8"/>
        <v>68.8</v>
      </c>
      <c r="H53" s="75">
        <f t="shared" si="8"/>
        <v>86</v>
      </c>
      <c r="I53" s="75">
        <f t="shared" si="8"/>
        <v>103.2</v>
      </c>
      <c r="J53" s="75">
        <f t="shared" si="8"/>
        <v>120.4</v>
      </c>
      <c r="K53" s="60" t="s">
        <v>91</v>
      </c>
    </row>
    <row r="54" spans="1:12" ht="14.4" customHeight="1" thickBot="1" x14ac:dyDescent="0.3">
      <c r="A54" s="13" t="s">
        <v>93</v>
      </c>
      <c r="B54" s="63">
        <f>IF(IFERROR((($B$43*B$51)/(($B$48)/$B$47)),0)&lt;0.5,0.5,IFERROR((($B$43*B$51)/(($B$48)/$B$47)),0))</f>
        <v>0.5</v>
      </c>
      <c r="C54" s="63">
        <f t="shared" ref="C54:J54" si="9">IF(IFERROR((($B$43*C$51)/(($B$48)/$B$47)),0)&lt;0.5,0.5,IFERROR((($B$43*C$51)/(($B$48)/$B$47)),0))</f>
        <v>0.5</v>
      </c>
      <c r="D54" s="63">
        <f t="shared" si="9"/>
        <v>0.5</v>
      </c>
      <c r="E54" s="63">
        <f t="shared" si="9"/>
        <v>0.5</v>
      </c>
      <c r="F54" s="63">
        <f t="shared" si="9"/>
        <v>0.5</v>
      </c>
      <c r="G54" s="63">
        <f t="shared" si="9"/>
        <v>0.5</v>
      </c>
      <c r="H54" s="63">
        <f t="shared" si="9"/>
        <v>0.5</v>
      </c>
      <c r="I54" s="63">
        <f t="shared" si="9"/>
        <v>0.5</v>
      </c>
      <c r="J54" s="63">
        <f t="shared" si="9"/>
        <v>0.5</v>
      </c>
      <c r="K54" s="28" t="s">
        <v>94</v>
      </c>
    </row>
    <row r="55" spans="1:12" ht="14.4" customHeight="1" x14ac:dyDescent="0.25">
      <c r="A55" s="12"/>
      <c r="B55" s="52" t="s">
        <v>95</v>
      </c>
      <c r="D55" s="52"/>
      <c r="E55" s="17"/>
    </row>
    <row r="56" spans="1:12" ht="14.4" customHeight="1" thickBot="1" x14ac:dyDescent="0.3">
      <c r="A56" s="12"/>
      <c r="E56" s="17"/>
    </row>
    <row r="57" spans="1:12" ht="14.4" customHeight="1" thickBot="1" x14ac:dyDescent="0.3">
      <c r="A57" s="8" t="s">
        <v>96</v>
      </c>
      <c r="B57" s="48"/>
      <c r="C57" s="48"/>
      <c r="D57" s="48"/>
      <c r="E57" s="84"/>
      <c r="F57" s="48"/>
      <c r="G57" s="48"/>
      <c r="H57" s="48"/>
      <c r="I57" s="48"/>
      <c r="J57" s="48"/>
      <c r="K57" s="49"/>
      <c r="L57" s="52"/>
    </row>
    <row r="58" spans="1:12" ht="14.4" customHeight="1" x14ac:dyDescent="0.25">
      <c r="A58" s="53" t="s">
        <v>97</v>
      </c>
      <c r="B58" s="23">
        <v>0.5</v>
      </c>
      <c r="C58" s="25"/>
      <c r="D58" s="25">
        <v>0.75</v>
      </c>
      <c r="E58" s="86"/>
      <c r="F58" s="25"/>
      <c r="G58" s="25">
        <v>1</v>
      </c>
      <c r="H58" s="25">
        <v>1.5</v>
      </c>
      <c r="I58" s="25">
        <v>2.5</v>
      </c>
      <c r="J58" s="58">
        <v>4</v>
      </c>
      <c r="K58" s="53" t="s">
        <v>98</v>
      </c>
    </row>
    <row r="59" spans="1:12" ht="14.4" customHeight="1" x14ac:dyDescent="0.25">
      <c r="A59" s="57" t="s">
        <v>90</v>
      </c>
      <c r="B59" s="75">
        <f t="shared" ref="B59:J59" si="10">$B$43*B61/B58*2</f>
        <v>240.8</v>
      </c>
      <c r="C59" s="75" t="e">
        <f t="shared" si="10"/>
        <v>#DIV/0!</v>
      </c>
      <c r="D59" s="75">
        <f t="shared" si="10"/>
        <v>160.53333333333333</v>
      </c>
      <c r="E59" s="75" t="e">
        <f t="shared" si="10"/>
        <v>#DIV/0!</v>
      </c>
      <c r="F59" s="75" t="e">
        <f t="shared" si="10"/>
        <v>#DIV/0!</v>
      </c>
      <c r="G59" s="75">
        <f t="shared" si="10"/>
        <v>120.4</v>
      </c>
      <c r="H59" s="75">
        <f t="shared" si="10"/>
        <v>80.266666666666666</v>
      </c>
      <c r="I59" s="75">
        <f t="shared" si="10"/>
        <v>48.160000000000004</v>
      </c>
      <c r="J59" s="75">
        <f t="shared" si="10"/>
        <v>30.1</v>
      </c>
      <c r="K59" s="54" t="s">
        <v>91</v>
      </c>
    </row>
    <row r="60" spans="1:12" ht="14.4" customHeight="1" thickBot="1" x14ac:dyDescent="0.3">
      <c r="A60" s="59" t="s">
        <v>92</v>
      </c>
      <c r="B60" s="75">
        <f>B59/2</f>
        <v>120.4</v>
      </c>
      <c r="C60" s="75" t="e">
        <f t="shared" ref="C60:J60" si="11">C59/2</f>
        <v>#DIV/0!</v>
      </c>
      <c r="D60" s="75">
        <f t="shared" si="11"/>
        <v>80.266666666666666</v>
      </c>
      <c r="E60" s="75" t="e">
        <f t="shared" si="11"/>
        <v>#DIV/0!</v>
      </c>
      <c r="F60" s="75" t="e">
        <f t="shared" si="11"/>
        <v>#DIV/0!</v>
      </c>
      <c r="G60" s="75">
        <f t="shared" si="11"/>
        <v>60.2</v>
      </c>
      <c r="H60" s="75">
        <f t="shared" si="11"/>
        <v>40.133333333333333</v>
      </c>
      <c r="I60" s="75">
        <f t="shared" si="11"/>
        <v>24.080000000000002</v>
      </c>
      <c r="J60" s="75">
        <f t="shared" si="11"/>
        <v>15.05</v>
      </c>
      <c r="K60" s="60" t="s">
        <v>91</v>
      </c>
    </row>
    <row r="61" spans="1:12" ht="14.4" customHeight="1" thickBot="1" x14ac:dyDescent="0.3">
      <c r="A61" s="28" t="s">
        <v>99</v>
      </c>
      <c r="B61" s="63">
        <f>IF(IFERROR((((($B$48)/$B$47)*B$58)/$B$43),9999)&gt;3500,3500,IFERROR((((($B$48)/$B$47)*B$58)/$B$43),9999))</f>
        <v>3500</v>
      </c>
      <c r="C61" s="63">
        <f t="shared" ref="C61:J61" si="12">IF(IFERROR((((($B$48)/$B$47)*C$58)/$B$43),9999)&gt;3500,3500,IFERROR((((($B$48)/$B$47)*C$58)/$B$43),9999))</f>
        <v>3500</v>
      </c>
      <c r="D61" s="63">
        <f t="shared" si="12"/>
        <v>3500</v>
      </c>
      <c r="E61" s="63">
        <f t="shared" si="12"/>
        <v>3500</v>
      </c>
      <c r="F61" s="63">
        <f t="shared" si="12"/>
        <v>3500</v>
      </c>
      <c r="G61" s="63">
        <f t="shared" si="12"/>
        <v>3500</v>
      </c>
      <c r="H61" s="63">
        <f t="shared" si="12"/>
        <v>3500</v>
      </c>
      <c r="I61" s="63">
        <f t="shared" si="12"/>
        <v>3500</v>
      </c>
      <c r="J61" s="63">
        <f t="shared" si="12"/>
        <v>3500</v>
      </c>
      <c r="K61" s="28" t="s">
        <v>89</v>
      </c>
    </row>
    <row r="62" spans="1:12" ht="14.4" customHeight="1" x14ac:dyDescent="0.25">
      <c r="A62" s="12"/>
      <c r="B62" s="52" t="s">
        <v>100</v>
      </c>
      <c r="D62" s="52"/>
      <c r="E62" s="17"/>
    </row>
    <row r="63" spans="1:12" ht="14.4" customHeight="1" thickBot="1" x14ac:dyDescent="0.3">
      <c r="A63" s="12"/>
      <c r="E63" s="17"/>
    </row>
    <row r="64" spans="1:12" ht="14.4" customHeight="1" thickBot="1" x14ac:dyDescent="0.3">
      <c r="A64" s="8" t="s">
        <v>101</v>
      </c>
      <c r="B64" s="48"/>
      <c r="C64" s="48"/>
      <c r="D64" s="49"/>
      <c r="E64" s="17"/>
    </row>
    <row r="65" spans="1:12" ht="14.4" customHeight="1" x14ac:dyDescent="0.25">
      <c r="A65" s="30" t="s">
        <v>102</v>
      </c>
      <c r="B65" s="76">
        <f>$B$10</f>
        <v>1.5</v>
      </c>
      <c r="C65" s="25"/>
      <c r="D65" s="31" t="s">
        <v>98</v>
      </c>
      <c r="E65" s="17"/>
      <c r="H65" s="51" t="str">
        <f>IF(B65&lt;0.5,"Error: The Minimum Cable Seccion in the Loop is 0,5 mm2","")</f>
        <v/>
      </c>
    </row>
    <row r="66" spans="1:12" ht="14.4" customHeight="1" x14ac:dyDescent="0.25">
      <c r="A66" s="15" t="s">
        <v>103</v>
      </c>
      <c r="B66" s="89">
        <f>$B$11</f>
        <v>1000</v>
      </c>
      <c r="C66" s="27"/>
      <c r="D66" s="29" t="s">
        <v>51</v>
      </c>
      <c r="E66" s="17"/>
      <c r="H66" s="51" t="str">
        <f>IF(B66&gt;3500,"Error: The Maximum Lenght in the Line is 3500 meters","")</f>
        <v/>
      </c>
    </row>
    <row r="67" spans="1:12" ht="14.4" customHeight="1" x14ac:dyDescent="0.25">
      <c r="A67" s="15" t="s">
        <v>104</v>
      </c>
      <c r="B67" s="89">
        <f>((($B$43*B66)/B65)*2)</f>
        <v>22.933333333333334</v>
      </c>
      <c r="C67" s="27"/>
      <c r="D67" s="38" t="s">
        <v>91</v>
      </c>
      <c r="E67" s="17"/>
    </row>
    <row r="68" spans="1:12" ht="14.4" customHeight="1" thickBot="1" x14ac:dyDescent="0.3">
      <c r="A68" s="16" t="s">
        <v>105</v>
      </c>
      <c r="B68" s="99">
        <f>B67/2</f>
        <v>11.466666666666667</v>
      </c>
      <c r="C68" s="39"/>
      <c r="D68" s="40" t="s">
        <v>91</v>
      </c>
      <c r="E68" s="17"/>
    </row>
    <row r="69" spans="1:12" ht="14.4" customHeight="1" x14ac:dyDescent="0.25">
      <c r="A69" s="105" t="s">
        <v>106</v>
      </c>
      <c r="B69" s="106">
        <f>$B$48/$B$68</f>
        <v>0.6017441860465117</v>
      </c>
      <c r="C69" s="107"/>
      <c r="D69" s="106" t="s">
        <v>82</v>
      </c>
      <c r="E69" s="17"/>
    </row>
    <row r="70" spans="1:12" ht="14.4" customHeight="1" thickBot="1" x14ac:dyDescent="0.3">
      <c r="A70" s="102"/>
      <c r="B70" s="103"/>
      <c r="C70" s="104"/>
      <c r="D70" s="103"/>
      <c r="E70" s="17"/>
    </row>
    <row r="71" spans="1:12" ht="14.4" customHeight="1" thickBot="1" x14ac:dyDescent="0.3">
      <c r="A71" s="8" t="s">
        <v>48</v>
      </c>
      <c r="B71" s="48"/>
      <c r="C71" s="48"/>
      <c r="D71" s="49"/>
      <c r="E71" s="17"/>
    </row>
    <row r="72" spans="1:12" ht="14.4" customHeight="1" thickBot="1" x14ac:dyDescent="0.3">
      <c r="A72" s="8" t="s">
        <v>35</v>
      </c>
      <c r="B72" s="49"/>
      <c r="D72" s="56" t="str">
        <f>IF($B$47&gt;0.5,"FAIL",IF($B$69&gt;=$B$47,"OK","FAIL"))</f>
        <v>OK</v>
      </c>
      <c r="E72" s="17"/>
      <c r="G72" s="51"/>
      <c r="H72" s="51"/>
    </row>
    <row r="73" spans="1:12" ht="14.4" customHeight="1" thickBot="1" x14ac:dyDescent="0.3">
      <c r="A73" s="8" t="s">
        <v>36</v>
      </c>
      <c r="B73" s="49"/>
      <c r="C73" s="44"/>
      <c r="D73" s="55" t="str">
        <f>IF($M$33&lt;=200,"OK","FAIL")</f>
        <v>OK</v>
      </c>
      <c r="E73" s="17"/>
      <c r="G73" s="51"/>
      <c r="H73" s="51"/>
    </row>
    <row r="74" spans="1:12" ht="14.4" customHeight="1" x14ac:dyDescent="0.25">
      <c r="A74" s="12"/>
      <c r="D74" s="51" t="str">
        <f>IF($B$47&gt;0.5,"Error: The Loop Current is upper that Maximum Current allowed",IF($B$69&lt;$B$47,"Error: The Loop Current is upper that Maximum Current allowed",""))</f>
        <v/>
      </c>
      <c r="E74" s="17"/>
    </row>
    <row r="75" spans="1:12" ht="14.4" customHeight="1" x14ac:dyDescent="0.25">
      <c r="A75" s="12"/>
      <c r="D75" s="51" t="str">
        <f>IF($M$33&gt;200,"Error: The Loop cannot contain more than 200 addresses","")</f>
        <v/>
      </c>
      <c r="E75" s="17"/>
    </row>
    <row r="77" spans="1:12" ht="27" customHeight="1" x14ac:dyDescent="0.25">
      <c r="A77" s="133" t="s">
        <v>45</v>
      </c>
      <c r="B77" s="133"/>
      <c r="C77" s="133"/>
      <c r="D77" s="133"/>
      <c r="E77" s="133"/>
      <c r="F77" s="133"/>
      <c r="G77" s="133"/>
      <c r="H77" s="133"/>
      <c r="I77" s="133"/>
      <c r="J77" s="133"/>
      <c r="K77" s="133"/>
      <c r="L77" s="133"/>
    </row>
  </sheetData>
  <sheetProtection sheet="1" sort="0" autoFilter="0" pivotTables="0"/>
  <mergeCells count="3">
    <mergeCell ref="K10:L10"/>
    <mergeCell ref="K11:L11"/>
    <mergeCell ref="A77:L77"/>
  </mergeCells>
  <conditionalFormatting sqref="B11">
    <cfRule type="cellIs" dxfId="89" priority="1" operator="greaterThan">
      <formula>3500</formula>
    </cfRule>
  </conditionalFormatting>
  <conditionalFormatting sqref="B19:B32">
    <cfRule type="cellIs" dxfId="88" priority="11" operator="greaterThan">
      <formula>200</formula>
    </cfRule>
  </conditionalFormatting>
  <conditionalFormatting sqref="B28">
    <cfRule type="cellIs" dxfId="87" priority="2" operator="greaterThan">
      <formula>30</formula>
    </cfRule>
  </conditionalFormatting>
  <conditionalFormatting sqref="B44:B47">
    <cfRule type="cellIs" dxfId="86" priority="7" operator="greaterThan">
      <formula>0.5</formula>
    </cfRule>
  </conditionalFormatting>
  <conditionalFormatting sqref="B54">
    <cfRule type="containsErrors" dxfId="85" priority="24">
      <formula>ISERROR(B54)</formula>
    </cfRule>
  </conditionalFormatting>
  <conditionalFormatting sqref="B61">
    <cfRule type="containsErrors" dxfId="84" priority="15">
      <formula>ISERROR(B61)</formula>
    </cfRule>
  </conditionalFormatting>
  <conditionalFormatting sqref="B52:J53">
    <cfRule type="containsErrors" dxfId="83" priority="18">
      <formula>ISERROR(B52)</formula>
    </cfRule>
  </conditionalFormatting>
  <conditionalFormatting sqref="B59:J60">
    <cfRule type="containsErrors" dxfId="82" priority="17">
      <formula>ISERROR(B59)</formula>
    </cfRule>
  </conditionalFormatting>
  <conditionalFormatting sqref="D38:D40">
    <cfRule type="expression" dxfId="81" priority="9" stopIfTrue="1">
      <formula>#REF!&gt;2</formula>
    </cfRule>
    <cfRule type="expression" dxfId="80" priority="10" stopIfTrue="1">
      <formula>#REF!&lt;3</formula>
    </cfRule>
  </conditionalFormatting>
  <conditionalFormatting sqref="D72:D73">
    <cfRule type="cellIs" dxfId="79" priority="21" stopIfTrue="1" operator="equal">
      <formula>"FAIL"</formula>
    </cfRule>
  </conditionalFormatting>
  <conditionalFormatting sqref="D33:H33">
    <cfRule type="cellIs" dxfId="78" priority="6" operator="greaterThan">
      <formula>0.5</formula>
    </cfRule>
  </conditionalFormatting>
  <conditionalFormatting sqref="D54:J54">
    <cfRule type="containsErrors" dxfId="77" priority="16">
      <formula>ISERROR(D54)</formula>
    </cfRule>
  </conditionalFormatting>
  <conditionalFormatting sqref="D61:J61">
    <cfRule type="containsErrors" dxfId="76" priority="14">
      <formula>ISERROR(D61)</formula>
    </cfRule>
  </conditionalFormatting>
  <conditionalFormatting sqref="I31">
    <cfRule type="cellIs" dxfId="75" priority="3" operator="equal">
      <formula>0</formula>
    </cfRule>
  </conditionalFormatting>
  <conditionalFormatting sqref="I33:M33">
    <cfRule type="cellIs" dxfId="74" priority="5" operator="greaterThan">
      <formula>200</formula>
    </cfRule>
  </conditionalFormatting>
  <conditionalFormatting sqref="K19:K32">
    <cfRule type="cellIs" dxfId="73" priority="13" operator="equal">
      <formula>0</formula>
    </cfRule>
  </conditionalFormatting>
  <conditionalFormatting sqref="M10:M11">
    <cfRule type="cellIs" dxfId="72" priority="19" stopIfTrue="1" operator="equal">
      <formula>"FAIL"</formula>
    </cfRule>
  </conditionalFormatting>
  <pageMargins left="0.78740157480314965" right="0.39370078740157483" top="0.39370078740157483" bottom="0.39370078740157483" header="0" footer="0"/>
  <pageSetup paperSize="9" scale="60" orientation="portrait" horizontalDpi="1200" verticalDpi="1200" r:id="rId1"/>
  <headerFooter alignWithMargins="0">
    <oddHeader>&amp;L&amp;F&amp;R&amp;A</oddHeader>
    <oddFooter>&amp;L&amp;P / &amp;N&amp;R&amp;D &amp;T</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7A09DDB2-3078-4FF9-92DE-61E73882740B}">
          <x14:formula1>
            <xm:f>Data!$A$9:$A$14</xm:f>
          </x14:formula1>
          <xm:sqref>B10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5C09F8-2276-4FF4-B5BF-967B18743B5D}">
  <sheetPr>
    <pageSetUpPr fitToPage="1"/>
  </sheetPr>
  <dimension ref="A1:M77"/>
  <sheetViews>
    <sheetView zoomScale="130" zoomScaleNormal="130" workbookViewId="0"/>
  </sheetViews>
  <sheetFormatPr defaultColWidth="11.44140625" defaultRowHeight="13.2" x14ac:dyDescent="0.25"/>
  <cols>
    <col min="1" max="1" width="64.6640625" customWidth="1"/>
    <col min="2" max="2" width="10.6640625" customWidth="1"/>
    <col min="3" max="3" width="12.6640625" hidden="1" customWidth="1"/>
    <col min="4" max="4" width="12.6640625" customWidth="1"/>
    <col min="5" max="6" width="12.6640625" hidden="1" customWidth="1"/>
    <col min="7" max="7" width="10.5546875" customWidth="1"/>
    <col min="8" max="8" width="14.6640625" customWidth="1"/>
    <col min="9" max="12" width="6.6640625" customWidth="1"/>
    <col min="13" max="14" width="11.5546875" customWidth="1"/>
  </cols>
  <sheetData>
    <row r="1" spans="1:13" ht="15" customHeight="1" x14ac:dyDescent="0.25">
      <c r="C1" s="68" t="s">
        <v>46</v>
      </c>
      <c r="E1" s="68" t="s">
        <v>46</v>
      </c>
      <c r="F1" s="68" t="s">
        <v>46</v>
      </c>
      <c r="H1" s="1"/>
      <c r="I1" s="2"/>
      <c r="J1" s="2"/>
      <c r="K1" s="2"/>
      <c r="L1" s="2"/>
    </row>
    <row r="2" spans="1:13" ht="15" customHeight="1" x14ac:dyDescent="0.25">
      <c r="H2" s="1"/>
      <c r="I2" s="2"/>
      <c r="J2" s="2"/>
      <c r="K2" s="2"/>
      <c r="L2" s="2"/>
    </row>
    <row r="3" spans="1:13" ht="15" customHeight="1" x14ac:dyDescent="0.25">
      <c r="H3" s="1"/>
      <c r="I3" s="2"/>
      <c r="J3" s="2"/>
      <c r="K3" s="2"/>
      <c r="L3" s="2"/>
    </row>
    <row r="4" spans="1:13" ht="15" customHeight="1" x14ac:dyDescent="0.25">
      <c r="H4" s="1"/>
      <c r="I4" s="2"/>
      <c r="J4" s="2"/>
      <c r="K4" s="2"/>
      <c r="L4" s="2"/>
    </row>
    <row r="5" spans="1:13" ht="15" customHeight="1" x14ac:dyDescent="0.3">
      <c r="A5" s="3"/>
      <c r="H5" s="1"/>
      <c r="I5" s="2"/>
      <c r="J5" s="2"/>
      <c r="K5" s="2"/>
      <c r="L5" s="2"/>
    </row>
    <row r="6" spans="1:13" ht="15" customHeight="1" x14ac:dyDescent="0.3">
      <c r="A6" s="3"/>
      <c r="H6" s="1"/>
      <c r="I6" s="2"/>
      <c r="J6" s="2"/>
      <c r="K6" s="2"/>
      <c r="L6" s="2"/>
    </row>
    <row r="7" spans="1:13" s="7" customFormat="1" ht="13.8" thickBot="1" x14ac:dyDescent="0.3">
      <c r="A7" s="4" t="s">
        <v>0</v>
      </c>
      <c r="B7" s="4"/>
      <c r="C7" s="4"/>
      <c r="D7" s="4"/>
      <c r="E7" s="4"/>
      <c r="F7" s="4"/>
      <c r="G7" s="4"/>
      <c r="H7" s="6"/>
      <c r="I7" s="5"/>
      <c r="J7" s="5"/>
      <c r="K7" s="5"/>
      <c r="L7" s="5"/>
      <c r="M7" s="11" t="s">
        <v>1</v>
      </c>
    </row>
    <row r="8" spans="1:13" s="7" customFormat="1" ht="13.8" thickBot="1" x14ac:dyDescent="0.3">
      <c r="H8" s="19"/>
      <c r="I8" s="20"/>
      <c r="J8" s="20"/>
      <c r="K8" s="20"/>
      <c r="L8" s="20"/>
      <c r="M8" s="21"/>
    </row>
    <row r="9" spans="1:13" s="7" customFormat="1" ht="13.8" thickBot="1" x14ac:dyDescent="0.3">
      <c r="A9" s="13" t="s">
        <v>47</v>
      </c>
      <c r="B9" s="32"/>
      <c r="C9" s="32"/>
      <c r="D9" s="33"/>
      <c r="H9" s="19"/>
      <c r="K9" s="77" t="s">
        <v>48</v>
      </c>
      <c r="L9" s="78"/>
      <c r="M9" s="43"/>
    </row>
    <row r="10" spans="1:13" s="7" customFormat="1" ht="13.8" thickBot="1" x14ac:dyDescent="0.3">
      <c r="A10" s="30" t="s">
        <v>49</v>
      </c>
      <c r="B10" s="67">
        <v>1.5</v>
      </c>
      <c r="C10" s="22"/>
      <c r="D10" s="81">
        <f>VLOOKUP($B$10,Data!$A$9:$B$14,2,FALSE)</f>
        <v>16</v>
      </c>
      <c r="E10" s="82"/>
      <c r="F10" s="12"/>
      <c r="G10" s="100"/>
      <c r="H10" s="100"/>
      <c r="I10" s="100"/>
      <c r="J10" s="101"/>
      <c r="K10" s="134" t="s">
        <v>35</v>
      </c>
      <c r="L10" s="135"/>
      <c r="M10" s="56" t="str">
        <f>IF($B$47&gt;0.5,"FAIL",IF($B$69&gt;=$B$47,"OK","FAIL"))</f>
        <v>OK</v>
      </c>
    </row>
    <row r="11" spans="1:13" s="7" customFormat="1" ht="13.8" thickBot="1" x14ac:dyDescent="0.3">
      <c r="A11" s="16" t="s">
        <v>50</v>
      </c>
      <c r="B11" s="130">
        <v>1000</v>
      </c>
      <c r="C11" s="66"/>
      <c r="E11" s="12"/>
      <c r="F11" s="12"/>
      <c r="G11" s="100"/>
      <c r="H11" s="100"/>
      <c r="I11" s="100"/>
      <c r="J11" s="101"/>
      <c r="K11" s="136" t="s">
        <v>36</v>
      </c>
      <c r="L11" s="137"/>
      <c r="M11" s="55" t="str">
        <f>IF($M$33&lt;=200,"OK","FAIL")</f>
        <v>OK</v>
      </c>
    </row>
    <row r="12" spans="1:13" s="7" customFormat="1" ht="15.6" x14ac:dyDescent="0.25">
      <c r="A12" s="50" t="s">
        <v>52</v>
      </c>
      <c r="D12" s="51" t="str">
        <f>IF(B11&gt;3500,"Error: The Maximum Lenght in the Line is 3500 m","")</f>
        <v/>
      </c>
      <c r="H12" s="19"/>
      <c r="I12" s="20"/>
      <c r="J12" s="20"/>
      <c r="K12" s="20"/>
      <c r="L12" s="21"/>
    </row>
    <row r="13" spans="1:13" s="7" customFormat="1" x14ac:dyDescent="0.25">
      <c r="A13" s="50"/>
      <c r="D13" s="51" t="str">
        <f>IF($B$47&gt;0.5,"Error: The Loop Current is upper that Maximum Current allowed",IF($B$69&lt;$B$47,"Error: The Loop Current is upper that Maximum Current allowed",""))</f>
        <v/>
      </c>
      <c r="H13" s="19"/>
      <c r="I13" s="20"/>
      <c r="J13" s="20"/>
      <c r="K13" s="20"/>
      <c r="L13" s="21"/>
    </row>
    <row r="14" spans="1:13" s="7" customFormat="1" x14ac:dyDescent="0.25">
      <c r="A14" s="50"/>
      <c r="D14" s="51" t="str">
        <f>IF($M$33&gt;250,"Error: The Loop cannot contain more than 200 addresses","")</f>
        <v/>
      </c>
      <c r="H14" s="19"/>
      <c r="I14" s="20"/>
      <c r="J14" s="20"/>
      <c r="K14" s="20"/>
      <c r="L14" s="21"/>
    </row>
    <row r="15" spans="1:13" s="7" customFormat="1" x14ac:dyDescent="0.25">
      <c r="A15" s="50"/>
      <c r="H15" s="19"/>
      <c r="I15" s="20"/>
      <c r="J15" s="20"/>
      <c r="K15" s="20"/>
      <c r="L15" s="21"/>
    </row>
    <row r="16" spans="1:13" ht="13.8" thickBot="1" x14ac:dyDescent="0.3">
      <c r="B16" s="10" t="s">
        <v>53</v>
      </c>
      <c r="C16" s="10" t="s">
        <v>53</v>
      </c>
    </row>
    <row r="17" spans="1:13" ht="13.8" thickBot="1" x14ac:dyDescent="0.3">
      <c r="A17" s="8" t="s">
        <v>54</v>
      </c>
      <c r="B17" s="9"/>
      <c r="C17" s="9"/>
      <c r="D17" s="9"/>
      <c r="E17" s="9"/>
      <c r="F17" s="9"/>
      <c r="G17" s="9"/>
      <c r="H17" s="48"/>
      <c r="I17" s="48"/>
      <c r="J17" s="48"/>
      <c r="K17" s="48"/>
      <c r="L17" s="48"/>
      <c r="M17" s="49"/>
    </row>
    <row r="18" spans="1:13" s="7" customFormat="1" ht="13.8" thickBot="1" x14ac:dyDescent="0.3">
      <c r="A18" s="46" t="s">
        <v>55</v>
      </c>
      <c r="B18" s="47" t="s">
        <v>12</v>
      </c>
      <c r="C18" s="47" t="s">
        <v>7</v>
      </c>
      <c r="D18" s="47" t="s">
        <v>7</v>
      </c>
      <c r="E18" s="47" t="s">
        <v>56</v>
      </c>
      <c r="F18" s="47" t="s">
        <v>8</v>
      </c>
      <c r="G18" s="47" t="s">
        <v>8</v>
      </c>
      <c r="H18" s="47" t="s">
        <v>57</v>
      </c>
      <c r="I18" s="87" t="s">
        <v>58</v>
      </c>
      <c r="J18" s="87" t="s">
        <v>59</v>
      </c>
      <c r="K18" s="87" t="s">
        <v>60</v>
      </c>
      <c r="L18" s="87" t="s">
        <v>61</v>
      </c>
      <c r="M18" s="88" t="s">
        <v>62</v>
      </c>
    </row>
    <row r="19" spans="1:13" x14ac:dyDescent="0.25">
      <c r="A19" s="30" t="s">
        <v>63</v>
      </c>
      <c r="B19" s="98">
        <v>0</v>
      </c>
      <c r="C19" s="64">
        <f>0.3/1000</f>
        <v>2.9999999999999997E-4</v>
      </c>
      <c r="D19" s="72">
        <f>B19*C19</f>
        <v>0</v>
      </c>
      <c r="E19" s="83">
        <f>B19</f>
        <v>0</v>
      </c>
      <c r="F19" s="64">
        <f t="shared" ref="F19:F24" si="0">1/1000</f>
        <v>1E-3</v>
      </c>
      <c r="G19" s="72">
        <f>E19*F19</f>
        <v>0</v>
      </c>
      <c r="H19" s="25"/>
      <c r="I19" s="79"/>
      <c r="J19" s="79"/>
      <c r="K19" s="89" t="str">
        <f>IF(B19&lt;&gt;0,B19," ")</f>
        <v xml:space="preserve"> </v>
      </c>
      <c r="L19" s="79"/>
      <c r="M19" s="90" t="str">
        <f>IF(K19&lt;&gt;0,K19," ")</f>
        <v xml:space="preserve"> </v>
      </c>
    </row>
    <row r="20" spans="1:13" x14ac:dyDescent="0.25">
      <c r="A20" s="30" t="s">
        <v>64</v>
      </c>
      <c r="B20" s="98">
        <v>0</v>
      </c>
      <c r="C20" s="14">
        <v>2.9999999999999997E-4</v>
      </c>
      <c r="D20" s="72">
        <f t="shared" ref="D20:D32" si="1">B20*C20</f>
        <v>0</v>
      </c>
      <c r="E20" s="83">
        <f t="shared" ref="E20:E32" si="2">B20</f>
        <v>0</v>
      </c>
      <c r="F20" s="14">
        <f t="shared" si="0"/>
        <v>1E-3</v>
      </c>
      <c r="G20" s="72">
        <f t="shared" ref="G20:G32" si="3">E20*F20</f>
        <v>0</v>
      </c>
      <c r="H20" s="27"/>
      <c r="I20" s="79"/>
      <c r="J20" s="89" t="str">
        <f>IF(B20&lt;&gt;0,B20," ")</f>
        <v xml:space="preserve"> </v>
      </c>
      <c r="K20" s="91"/>
      <c r="L20" s="91"/>
      <c r="M20" s="90" t="str">
        <f>IF(J20&lt;&gt;0,J20," ")</f>
        <v xml:space="preserve"> </v>
      </c>
    </row>
    <row r="21" spans="1:13" x14ac:dyDescent="0.25">
      <c r="A21" s="15" t="s">
        <v>65</v>
      </c>
      <c r="B21" s="98">
        <v>0</v>
      </c>
      <c r="C21" s="14">
        <v>2.9999999999999997E-4</v>
      </c>
      <c r="D21" s="72">
        <f t="shared" si="1"/>
        <v>0</v>
      </c>
      <c r="E21" s="83">
        <f t="shared" si="2"/>
        <v>0</v>
      </c>
      <c r="F21" s="14">
        <f t="shared" si="0"/>
        <v>1E-3</v>
      </c>
      <c r="G21" s="72">
        <f t="shared" si="3"/>
        <v>0</v>
      </c>
      <c r="H21" s="27"/>
      <c r="I21" s="79"/>
      <c r="J21" s="89" t="str">
        <f>IF(B21&lt;&gt;0,B21," ")</f>
        <v xml:space="preserve"> </v>
      </c>
      <c r="K21" s="91"/>
      <c r="L21" s="91"/>
      <c r="M21" s="90" t="str">
        <f>IF(J21&lt;&gt;0,J21," ")</f>
        <v xml:space="preserve"> </v>
      </c>
    </row>
    <row r="22" spans="1:13" x14ac:dyDescent="0.25">
      <c r="A22" s="15" t="s">
        <v>66</v>
      </c>
      <c r="B22" s="98">
        <v>0</v>
      </c>
      <c r="C22" s="14">
        <v>2.9999999999999997E-4</v>
      </c>
      <c r="D22" s="72">
        <f t="shared" si="1"/>
        <v>0</v>
      </c>
      <c r="E22" s="83">
        <f t="shared" si="2"/>
        <v>0</v>
      </c>
      <c r="F22" s="14">
        <f t="shared" si="0"/>
        <v>1E-3</v>
      </c>
      <c r="G22" s="72">
        <f t="shared" si="3"/>
        <v>0</v>
      </c>
      <c r="H22" s="27"/>
      <c r="I22" s="79"/>
      <c r="J22" s="89" t="str">
        <f>IF(B22&lt;&gt;0,B22," ")</f>
        <v xml:space="preserve"> </v>
      </c>
      <c r="K22" s="91"/>
      <c r="L22" s="91"/>
      <c r="M22" s="90" t="str">
        <f>IF(J22&lt;&gt;0,J22," ")</f>
        <v xml:space="preserve"> </v>
      </c>
    </row>
    <row r="23" spans="1:13" x14ac:dyDescent="0.25">
      <c r="A23" s="15" t="s">
        <v>67</v>
      </c>
      <c r="B23" s="98">
        <v>0</v>
      </c>
      <c r="C23" s="14">
        <f t="shared" ref="C23:C28" si="4">0.25/1000</f>
        <v>2.5000000000000001E-4</v>
      </c>
      <c r="D23" s="72">
        <f t="shared" si="1"/>
        <v>0</v>
      </c>
      <c r="E23" s="83">
        <f t="shared" si="2"/>
        <v>0</v>
      </c>
      <c r="F23" s="14">
        <f t="shared" si="0"/>
        <v>1E-3</v>
      </c>
      <c r="G23" s="72">
        <f t="shared" si="3"/>
        <v>0</v>
      </c>
      <c r="H23" s="27"/>
      <c r="I23" s="79"/>
      <c r="J23" s="91"/>
      <c r="K23" s="89" t="str">
        <f>IF(B23&lt;&gt;0,B23," ")</f>
        <v xml:space="preserve"> </v>
      </c>
      <c r="L23" s="91"/>
      <c r="M23" s="90" t="str">
        <f>IF(K23&lt;&gt;0,K23," ")</f>
        <v xml:space="preserve"> </v>
      </c>
    </row>
    <row r="24" spans="1:13" x14ac:dyDescent="0.25">
      <c r="A24" s="15" t="s">
        <v>68</v>
      </c>
      <c r="B24" s="98">
        <v>0</v>
      </c>
      <c r="C24" s="14">
        <f t="shared" si="4"/>
        <v>2.5000000000000001E-4</v>
      </c>
      <c r="D24" s="72">
        <f t="shared" si="1"/>
        <v>0</v>
      </c>
      <c r="E24" s="83">
        <f t="shared" si="2"/>
        <v>0</v>
      </c>
      <c r="F24" s="14">
        <f t="shared" si="0"/>
        <v>1E-3</v>
      </c>
      <c r="G24" s="72">
        <f t="shared" si="3"/>
        <v>0</v>
      </c>
      <c r="H24" s="27"/>
      <c r="I24" s="79"/>
      <c r="J24" s="91"/>
      <c r="K24" s="89" t="str">
        <f>IF(B24&lt;&gt;0,B24," ")</f>
        <v xml:space="preserve"> </v>
      </c>
      <c r="L24" s="91"/>
      <c r="M24" s="90" t="str">
        <f>IF(K24&lt;&gt;0,K24," ")</f>
        <v xml:space="preserve"> </v>
      </c>
    </row>
    <row r="25" spans="1:13" x14ac:dyDescent="0.25">
      <c r="A25" s="15" t="s">
        <v>69</v>
      </c>
      <c r="B25" s="98">
        <v>0</v>
      </c>
      <c r="C25" s="14">
        <f t="shared" si="4"/>
        <v>2.5000000000000001E-4</v>
      </c>
      <c r="D25" s="72">
        <f t="shared" si="1"/>
        <v>0</v>
      </c>
      <c r="E25" s="83">
        <f t="shared" si="2"/>
        <v>0</v>
      </c>
      <c r="F25" s="14">
        <f>0.25/1000</f>
        <v>2.5000000000000001E-4</v>
      </c>
      <c r="G25" s="72">
        <f t="shared" si="3"/>
        <v>0</v>
      </c>
      <c r="H25" s="27"/>
      <c r="I25" s="79"/>
      <c r="J25" s="91"/>
      <c r="K25" s="89" t="str">
        <f>IF(B25&lt;&gt;0,B25," ")</f>
        <v xml:space="preserve"> </v>
      </c>
      <c r="L25" s="91"/>
      <c r="M25" s="90" t="str">
        <f>IF(K25&lt;&gt;0,K25," ")</f>
        <v xml:space="preserve"> </v>
      </c>
    </row>
    <row r="26" spans="1:13" x14ac:dyDescent="0.25">
      <c r="A26" s="15" t="s">
        <v>70</v>
      </c>
      <c r="B26" s="98">
        <v>0</v>
      </c>
      <c r="C26" s="14">
        <f t="shared" si="4"/>
        <v>2.5000000000000001E-4</v>
      </c>
      <c r="D26" s="72">
        <f t="shared" si="1"/>
        <v>0</v>
      </c>
      <c r="E26" s="83">
        <f t="shared" si="2"/>
        <v>0</v>
      </c>
      <c r="F26" s="14">
        <f>0.25/1000</f>
        <v>2.5000000000000001E-4</v>
      </c>
      <c r="G26" s="72">
        <f t="shared" si="3"/>
        <v>0</v>
      </c>
      <c r="H26" s="73" t="str">
        <f>IF(B26*G26=0," ",G26)</f>
        <v xml:space="preserve"> </v>
      </c>
      <c r="I26" s="79"/>
      <c r="J26" s="91"/>
      <c r="K26" s="91"/>
      <c r="L26" s="89" t="str">
        <f>IF(B26&lt;&gt;0,B26," ")</f>
        <v xml:space="preserve"> </v>
      </c>
      <c r="M26" s="90" t="str">
        <f>IF(L26&lt;&gt;0,L26," ")</f>
        <v xml:space="preserve"> </v>
      </c>
    </row>
    <row r="27" spans="1:13" x14ac:dyDescent="0.25">
      <c r="A27" s="15" t="s">
        <v>71</v>
      </c>
      <c r="B27" s="98">
        <v>0</v>
      </c>
      <c r="C27" s="14">
        <f t="shared" si="4"/>
        <v>2.5000000000000001E-4</v>
      </c>
      <c r="D27" s="72">
        <f t="shared" si="1"/>
        <v>0</v>
      </c>
      <c r="E27" s="83">
        <f t="shared" si="2"/>
        <v>0</v>
      </c>
      <c r="F27" s="14">
        <f>0.25/1000</f>
        <v>2.5000000000000001E-4</v>
      </c>
      <c r="G27" s="72">
        <f t="shared" si="3"/>
        <v>0</v>
      </c>
      <c r="H27" s="73" t="str">
        <f t="shared" ref="H27:H28" si="5">IF(B27*G27=0," ",G27)</f>
        <v xml:space="preserve"> </v>
      </c>
      <c r="I27" s="79"/>
      <c r="J27" s="91"/>
      <c r="K27" s="91"/>
      <c r="L27" s="89" t="str">
        <f>IF(B27&lt;&gt;0,B27," ")</f>
        <v xml:space="preserve"> </v>
      </c>
      <c r="M27" s="90" t="str">
        <f>IF(L27&lt;&gt;0,L27," ")</f>
        <v xml:space="preserve"> </v>
      </c>
    </row>
    <row r="28" spans="1:13" x14ac:dyDescent="0.25">
      <c r="A28" s="15" t="s">
        <v>72</v>
      </c>
      <c r="B28" s="98">
        <v>0</v>
      </c>
      <c r="C28" s="14">
        <f t="shared" si="4"/>
        <v>2.5000000000000001E-4</v>
      </c>
      <c r="D28" s="72">
        <f t="shared" si="1"/>
        <v>0</v>
      </c>
      <c r="E28" s="83">
        <f t="shared" si="2"/>
        <v>0</v>
      </c>
      <c r="F28" s="14">
        <f>10/1000</f>
        <v>0.01</v>
      </c>
      <c r="G28" s="72">
        <f t="shared" si="3"/>
        <v>0</v>
      </c>
      <c r="H28" s="73" t="str">
        <f t="shared" si="5"/>
        <v xml:space="preserve"> </v>
      </c>
      <c r="I28" s="79"/>
      <c r="J28" s="91"/>
      <c r="K28" s="91"/>
      <c r="L28" s="89" t="str">
        <f>IF(B28&lt;&gt;0,B28," ")</f>
        <v xml:space="preserve"> </v>
      </c>
      <c r="M28" s="90" t="str">
        <f>IF(L28&lt;&gt;0,L28," ")</f>
        <v xml:space="preserve"> </v>
      </c>
    </row>
    <row r="29" spans="1:13" x14ac:dyDescent="0.25">
      <c r="A29" s="15" t="s">
        <v>73</v>
      </c>
      <c r="B29" s="98">
        <v>0</v>
      </c>
      <c r="C29" s="14">
        <f>9/1000</f>
        <v>8.9999999999999993E-3</v>
      </c>
      <c r="D29" s="72">
        <f t="shared" si="1"/>
        <v>0</v>
      </c>
      <c r="E29" s="83">
        <f t="shared" si="2"/>
        <v>0</v>
      </c>
      <c r="F29" s="14">
        <f>46/1000</f>
        <v>4.5999999999999999E-2</v>
      </c>
      <c r="G29" s="72">
        <f t="shared" si="3"/>
        <v>0</v>
      </c>
      <c r="H29" s="27"/>
      <c r="I29" s="79"/>
      <c r="J29" s="91"/>
      <c r="K29" s="89" t="str">
        <f>IF(B29&lt;&gt;0,B29," ")</f>
        <v xml:space="preserve"> </v>
      </c>
      <c r="L29" s="91"/>
      <c r="M29" s="90" t="str">
        <f>IF(K29&lt;&gt;0,K29," ")</f>
        <v xml:space="preserve"> </v>
      </c>
    </row>
    <row r="30" spans="1:13" x14ac:dyDescent="0.25">
      <c r="A30" s="15" t="s">
        <v>74</v>
      </c>
      <c r="B30" s="98">
        <v>0</v>
      </c>
      <c r="C30" s="14">
        <f>2/1000</f>
        <v>2E-3</v>
      </c>
      <c r="D30" s="72">
        <f t="shared" si="1"/>
        <v>0</v>
      </c>
      <c r="E30" s="83">
        <f t="shared" si="2"/>
        <v>0</v>
      </c>
      <c r="F30" s="14">
        <f>2/1000</f>
        <v>2E-3</v>
      </c>
      <c r="G30" s="72">
        <f t="shared" si="3"/>
        <v>0</v>
      </c>
      <c r="H30" s="27"/>
      <c r="I30" s="79"/>
      <c r="J30" s="91"/>
      <c r="K30" s="89" t="str">
        <f>IF(B30&lt;&gt;0,B30," ")</f>
        <v xml:space="preserve"> </v>
      </c>
      <c r="L30" s="91"/>
      <c r="M30" s="90" t="str">
        <f>IF(K30&lt;&gt;0,K30," ")</f>
        <v xml:space="preserve"> </v>
      </c>
    </row>
    <row r="31" spans="1:13" x14ac:dyDescent="0.25">
      <c r="A31" s="15" t="s">
        <v>75</v>
      </c>
      <c r="B31" s="98">
        <v>0</v>
      </c>
      <c r="C31" s="14">
        <f>0.25/1000</f>
        <v>2.5000000000000001E-4</v>
      </c>
      <c r="D31" s="72">
        <f t="shared" si="1"/>
        <v>0</v>
      </c>
      <c r="E31" s="83">
        <f t="shared" si="2"/>
        <v>0</v>
      </c>
      <c r="F31" s="14">
        <f>0.25/1000</f>
        <v>2.5000000000000001E-4</v>
      </c>
      <c r="G31" s="72">
        <f t="shared" si="3"/>
        <v>0</v>
      </c>
      <c r="H31" s="27"/>
      <c r="I31" s="89" t="str">
        <f>IF(B30&lt;&gt;0,B30," ")</f>
        <v xml:space="preserve"> </v>
      </c>
      <c r="J31" s="91"/>
      <c r="K31" s="91"/>
      <c r="L31" s="91"/>
      <c r="M31" s="92"/>
    </row>
    <row r="32" spans="1:13" ht="13.8" thickBot="1" x14ac:dyDescent="0.3">
      <c r="A32" s="15" t="s">
        <v>76</v>
      </c>
      <c r="B32" s="98">
        <v>0</v>
      </c>
      <c r="C32" s="14">
        <v>6.2500000000000001E-4</v>
      </c>
      <c r="D32" s="72">
        <f t="shared" si="1"/>
        <v>0</v>
      </c>
      <c r="E32" s="83">
        <f t="shared" si="2"/>
        <v>0</v>
      </c>
      <c r="F32" s="65">
        <f>8/1000</f>
        <v>8.0000000000000002E-3</v>
      </c>
      <c r="G32" s="72">
        <f t="shared" si="3"/>
        <v>0</v>
      </c>
      <c r="H32" s="24"/>
      <c r="I32" s="79"/>
      <c r="J32" s="93"/>
      <c r="K32" s="93"/>
      <c r="L32" s="94"/>
      <c r="M32" s="95"/>
    </row>
    <row r="33" spans="1:13" s="7" customFormat="1" ht="13.8" thickBot="1" x14ac:dyDescent="0.3">
      <c r="A33" s="13" t="s">
        <v>77</v>
      </c>
      <c r="B33" s="96">
        <f>SUM(B19:B32)</f>
        <v>0</v>
      </c>
      <c r="C33" s="70"/>
      <c r="D33" s="69">
        <f>SUM(D19:D32)</f>
        <v>0</v>
      </c>
      <c r="E33" s="69">
        <f>SUM(E19:E31)</f>
        <v>0</v>
      </c>
      <c r="F33" s="69"/>
      <c r="G33" s="69">
        <f t="shared" ref="G33:M33" si="6">SUM(G19:G32)</f>
        <v>0</v>
      </c>
      <c r="H33" s="69">
        <f t="shared" si="6"/>
        <v>0</v>
      </c>
      <c r="I33" s="96">
        <f>SUM(I19:I32)</f>
        <v>0</v>
      </c>
      <c r="J33" s="96">
        <f t="shared" si="6"/>
        <v>0</v>
      </c>
      <c r="K33" s="96">
        <f t="shared" si="6"/>
        <v>0</v>
      </c>
      <c r="L33" s="96">
        <f t="shared" si="6"/>
        <v>0</v>
      </c>
      <c r="M33" s="97">
        <f t="shared" si="6"/>
        <v>0</v>
      </c>
    </row>
    <row r="34" spans="1:13" s="7" customFormat="1" x14ac:dyDescent="0.25">
      <c r="B34" s="34"/>
      <c r="C34" s="35"/>
      <c r="D34" s="51" t="str">
        <f>IF(M33&gt;200,"Error: The Loop cannot contain more than 200 addresses","")</f>
        <v/>
      </c>
      <c r="E34" s="37"/>
      <c r="F34" s="36"/>
      <c r="G34" s="36"/>
      <c r="H34" s="36"/>
      <c r="I34" s="36"/>
      <c r="J34" s="36"/>
      <c r="K34" s="34"/>
      <c r="L34" s="34"/>
    </row>
    <row r="35" spans="1:13" s="7" customFormat="1" x14ac:dyDescent="0.25">
      <c r="A35" s="50"/>
      <c r="D35" s="51" t="str">
        <f>IF(B28&gt;30,"Error: The Loop cannot contain more than 30 Loop Sounders in 1.000 meters","")</f>
        <v/>
      </c>
      <c r="H35" s="19"/>
      <c r="I35" s="20"/>
      <c r="J35" s="20"/>
      <c r="K35" s="20"/>
      <c r="L35" s="21"/>
    </row>
    <row r="36" spans="1:13" s="7" customFormat="1" x14ac:dyDescent="0.25">
      <c r="A36" s="50"/>
      <c r="D36" s="51" t="str">
        <f>IF(AND(B11&gt;1000,B28&gt;19),"Error: The Loop cannot contain more than 19 Loop Sounders in 2.000 meters","")</f>
        <v/>
      </c>
      <c r="H36" s="19"/>
      <c r="I36" s="20"/>
      <c r="J36" s="20"/>
      <c r="K36" s="20"/>
      <c r="L36" s="21"/>
    </row>
    <row r="37" spans="1:13" s="7" customFormat="1" x14ac:dyDescent="0.25">
      <c r="A37" s="50"/>
      <c r="D37" s="51" t="str">
        <f>IF(AND(B29&gt;6),"Error: The Loop cannot contain more than 6 Zone Modules Powered from the Loop","")</f>
        <v/>
      </c>
      <c r="H37" s="19"/>
      <c r="I37" s="20"/>
      <c r="J37" s="20"/>
      <c r="K37" s="20"/>
      <c r="L37" s="21"/>
    </row>
    <row r="38" spans="1:13" s="7" customFormat="1" x14ac:dyDescent="0.25">
      <c r="B38" s="34"/>
      <c r="C38" s="35"/>
      <c r="D38" s="71" t="str">
        <f>IF(OR(B25&gt;0,B27&gt;0,B30&gt;0),"Info: External 24V needed. EN 54-4 certificate."," ")</f>
        <v xml:space="preserve"> </v>
      </c>
      <c r="E38" s="37"/>
      <c r="F38" s="36"/>
      <c r="G38" s="36"/>
      <c r="H38" s="36"/>
      <c r="I38" s="36"/>
      <c r="J38" s="36"/>
      <c r="K38" s="34"/>
      <c r="L38" s="34"/>
    </row>
    <row r="39" spans="1:13" s="7" customFormat="1" x14ac:dyDescent="0.25">
      <c r="B39" s="34"/>
      <c r="C39" s="35"/>
      <c r="D39" s="71" t="str">
        <f>IF(OR(B25&gt;0,B27&gt;0,B30&gt;0),"        Control Panel could provide from 24Vaux,"," ")</f>
        <v xml:space="preserve"> </v>
      </c>
      <c r="E39" s="37"/>
      <c r="F39" s="36"/>
      <c r="G39" s="36"/>
      <c r="H39" s="36"/>
      <c r="I39" s="36"/>
      <c r="J39" s="36"/>
      <c r="K39" s="34"/>
      <c r="L39" s="34"/>
    </row>
    <row r="40" spans="1:13" s="7" customFormat="1" x14ac:dyDescent="0.25">
      <c r="B40" s="34"/>
      <c r="C40" s="35"/>
      <c r="D40" s="71" t="str">
        <f>IF(OR(B25&gt;0,B27&gt;0,B30&gt;0),"         if 2A maximum current isn't exceeded."," ")</f>
        <v xml:space="preserve"> </v>
      </c>
      <c r="E40" s="37"/>
      <c r="F40" s="36"/>
      <c r="G40" s="36"/>
      <c r="H40" s="36"/>
      <c r="I40" s="36"/>
      <c r="J40" s="36"/>
      <c r="K40" s="34"/>
      <c r="L40" s="34"/>
    </row>
    <row r="41" spans="1:13" ht="14.4" customHeight="1" thickBot="1" x14ac:dyDescent="0.3">
      <c r="E41" s="17"/>
      <c r="K41" s="51"/>
    </row>
    <row r="42" spans="1:13" ht="14.4" customHeight="1" thickBot="1" x14ac:dyDescent="0.3">
      <c r="A42" s="13" t="s">
        <v>78</v>
      </c>
      <c r="B42" s="41"/>
      <c r="C42" s="41"/>
      <c r="D42" s="42"/>
      <c r="E42" s="17"/>
    </row>
    <row r="43" spans="1:13" ht="14.4" customHeight="1" x14ac:dyDescent="0.25">
      <c r="A43" s="30" t="s">
        <v>79</v>
      </c>
      <c r="B43" s="45">
        <v>1.72E-2</v>
      </c>
      <c r="C43" s="25"/>
      <c r="D43" s="31" t="s">
        <v>80</v>
      </c>
      <c r="E43" s="17"/>
    </row>
    <row r="44" spans="1:13" ht="14.4" customHeight="1" x14ac:dyDescent="0.25">
      <c r="A44" s="15" t="s">
        <v>81</v>
      </c>
      <c r="B44" s="74">
        <f>D33</f>
        <v>0</v>
      </c>
      <c r="C44" s="27"/>
      <c r="D44" s="29" t="s">
        <v>82</v>
      </c>
      <c r="E44" s="17"/>
    </row>
    <row r="45" spans="1:13" ht="14.4" customHeight="1" x14ac:dyDescent="0.25">
      <c r="A45" s="15" t="s">
        <v>83</v>
      </c>
      <c r="B45" s="74">
        <f>G33-H33</f>
        <v>0</v>
      </c>
      <c r="C45" s="27"/>
      <c r="D45" s="29" t="s">
        <v>82</v>
      </c>
      <c r="E45" s="17"/>
    </row>
    <row r="46" spans="1:13" ht="14.4" customHeight="1" x14ac:dyDescent="0.25">
      <c r="A46" s="15" t="s">
        <v>84</v>
      </c>
      <c r="B46" s="74">
        <f>H33</f>
        <v>0</v>
      </c>
      <c r="C46" s="27"/>
      <c r="D46" s="29" t="s">
        <v>82</v>
      </c>
      <c r="E46" s="17"/>
    </row>
    <row r="47" spans="1:13" ht="14.4" customHeight="1" x14ac:dyDescent="0.25">
      <c r="A47" s="15" t="s">
        <v>21</v>
      </c>
      <c r="B47" s="74">
        <f>SUM(B44:B46)</f>
        <v>0</v>
      </c>
      <c r="C47" s="27"/>
      <c r="D47" s="29" t="s">
        <v>82</v>
      </c>
      <c r="E47" s="17"/>
    </row>
    <row r="48" spans="1:13" ht="14.4" customHeight="1" thickBot="1" x14ac:dyDescent="0.3">
      <c r="A48" s="16" t="s">
        <v>85</v>
      </c>
      <c r="B48" s="39">
        <v>6.9</v>
      </c>
      <c r="C48" s="39"/>
      <c r="D48" s="18" t="s">
        <v>86</v>
      </c>
      <c r="E48" s="17"/>
    </row>
    <row r="49" spans="1:12" ht="14.4" customHeight="1" thickBot="1" x14ac:dyDescent="0.3">
      <c r="A49" s="12"/>
      <c r="E49" s="17"/>
    </row>
    <row r="50" spans="1:12" ht="14.4" customHeight="1" thickBot="1" x14ac:dyDescent="0.3">
      <c r="A50" s="8" t="s">
        <v>87</v>
      </c>
      <c r="B50" s="48"/>
      <c r="C50" s="48"/>
      <c r="D50" s="48"/>
      <c r="E50" s="84"/>
      <c r="F50" s="48"/>
      <c r="G50" s="48"/>
      <c r="H50" s="48"/>
      <c r="I50" s="48"/>
      <c r="J50" s="48"/>
      <c r="K50" s="49"/>
      <c r="L50" s="52"/>
    </row>
    <row r="51" spans="1:12" ht="14.4" customHeight="1" x14ac:dyDescent="0.25">
      <c r="A51" s="62" t="s">
        <v>88</v>
      </c>
      <c r="B51" s="79">
        <v>1000</v>
      </c>
      <c r="C51" s="79"/>
      <c r="D51" s="79">
        <v>1500</v>
      </c>
      <c r="E51" s="85"/>
      <c r="F51" s="79"/>
      <c r="G51" s="79">
        <v>2000</v>
      </c>
      <c r="H51" s="79">
        <v>2500</v>
      </c>
      <c r="I51" s="79">
        <v>3000</v>
      </c>
      <c r="J51" s="80">
        <v>3500</v>
      </c>
      <c r="K51" s="53" t="s">
        <v>89</v>
      </c>
    </row>
    <row r="52" spans="1:12" ht="14.4" customHeight="1" x14ac:dyDescent="0.25">
      <c r="A52" s="26" t="s">
        <v>90</v>
      </c>
      <c r="B52" s="75">
        <f>((($B$43*B51)/B54)*2)</f>
        <v>68.8</v>
      </c>
      <c r="C52" s="75">
        <f t="shared" ref="C52:J52" si="7">((($B$43*C51)/C54)*2)</f>
        <v>0</v>
      </c>
      <c r="D52" s="75">
        <f t="shared" si="7"/>
        <v>103.2</v>
      </c>
      <c r="E52" s="75">
        <f t="shared" si="7"/>
        <v>0</v>
      </c>
      <c r="F52" s="75">
        <f t="shared" si="7"/>
        <v>0</v>
      </c>
      <c r="G52" s="75">
        <f t="shared" si="7"/>
        <v>137.6</v>
      </c>
      <c r="H52" s="75">
        <f t="shared" si="7"/>
        <v>172</v>
      </c>
      <c r="I52" s="75">
        <f t="shared" si="7"/>
        <v>206.4</v>
      </c>
      <c r="J52" s="75">
        <f t="shared" si="7"/>
        <v>240.8</v>
      </c>
      <c r="K52" s="54" t="s">
        <v>91</v>
      </c>
    </row>
    <row r="53" spans="1:12" ht="14.4" customHeight="1" thickBot="1" x14ac:dyDescent="0.3">
      <c r="A53" s="61" t="s">
        <v>92</v>
      </c>
      <c r="B53" s="75">
        <f>B52/2</f>
        <v>34.4</v>
      </c>
      <c r="C53" s="75">
        <f t="shared" ref="C53:J53" si="8">C52/2</f>
        <v>0</v>
      </c>
      <c r="D53" s="75">
        <f t="shared" si="8"/>
        <v>51.6</v>
      </c>
      <c r="E53" s="75">
        <f t="shared" si="8"/>
        <v>0</v>
      </c>
      <c r="F53" s="75">
        <f t="shared" si="8"/>
        <v>0</v>
      </c>
      <c r="G53" s="75">
        <f t="shared" si="8"/>
        <v>68.8</v>
      </c>
      <c r="H53" s="75">
        <f t="shared" si="8"/>
        <v>86</v>
      </c>
      <c r="I53" s="75">
        <f t="shared" si="8"/>
        <v>103.2</v>
      </c>
      <c r="J53" s="75">
        <f t="shared" si="8"/>
        <v>120.4</v>
      </c>
      <c r="K53" s="60" t="s">
        <v>91</v>
      </c>
    </row>
    <row r="54" spans="1:12" ht="14.4" customHeight="1" thickBot="1" x14ac:dyDescent="0.3">
      <c r="A54" s="13" t="s">
        <v>93</v>
      </c>
      <c r="B54" s="63">
        <f>IF(IFERROR((($B$43*B$51)/(($B$48)/$B$47)),0)&lt;0.5,0.5,IFERROR((($B$43*B$51)/(($B$48)/$B$47)),0))</f>
        <v>0.5</v>
      </c>
      <c r="C54" s="63">
        <f t="shared" ref="C54:J54" si="9">IF(IFERROR((($B$43*C$51)/(($B$48)/$B$47)),0)&lt;0.5,0.5,IFERROR((($B$43*C$51)/(($B$48)/$B$47)),0))</f>
        <v>0.5</v>
      </c>
      <c r="D54" s="63">
        <f t="shared" si="9"/>
        <v>0.5</v>
      </c>
      <c r="E54" s="63">
        <f t="shared" si="9"/>
        <v>0.5</v>
      </c>
      <c r="F54" s="63">
        <f t="shared" si="9"/>
        <v>0.5</v>
      </c>
      <c r="G54" s="63">
        <f t="shared" si="9"/>
        <v>0.5</v>
      </c>
      <c r="H54" s="63">
        <f t="shared" si="9"/>
        <v>0.5</v>
      </c>
      <c r="I54" s="63">
        <f t="shared" si="9"/>
        <v>0.5</v>
      </c>
      <c r="J54" s="63">
        <f t="shared" si="9"/>
        <v>0.5</v>
      </c>
      <c r="K54" s="28" t="s">
        <v>94</v>
      </c>
    </row>
    <row r="55" spans="1:12" ht="14.4" customHeight="1" x14ac:dyDescent="0.25">
      <c r="A55" s="12"/>
      <c r="B55" s="52" t="s">
        <v>95</v>
      </c>
      <c r="D55" s="52"/>
      <c r="E55" s="17"/>
    </row>
    <row r="56" spans="1:12" ht="14.4" customHeight="1" thickBot="1" x14ac:dyDescent="0.3">
      <c r="A56" s="12"/>
      <c r="E56" s="17"/>
    </row>
    <row r="57" spans="1:12" ht="14.4" customHeight="1" thickBot="1" x14ac:dyDescent="0.3">
      <c r="A57" s="8" t="s">
        <v>96</v>
      </c>
      <c r="B57" s="48"/>
      <c r="C57" s="48"/>
      <c r="D57" s="48"/>
      <c r="E57" s="84"/>
      <c r="F57" s="48"/>
      <c r="G57" s="48"/>
      <c r="H57" s="48"/>
      <c r="I57" s="48"/>
      <c r="J57" s="48"/>
      <c r="K57" s="49"/>
      <c r="L57" s="52"/>
    </row>
    <row r="58" spans="1:12" ht="14.4" customHeight="1" x14ac:dyDescent="0.25">
      <c r="A58" s="53" t="s">
        <v>97</v>
      </c>
      <c r="B58" s="23">
        <v>0.5</v>
      </c>
      <c r="C58" s="25"/>
      <c r="D58" s="25">
        <v>0.75</v>
      </c>
      <c r="E58" s="86"/>
      <c r="F58" s="25"/>
      <c r="G58" s="25">
        <v>1</v>
      </c>
      <c r="H58" s="25">
        <v>1.5</v>
      </c>
      <c r="I58" s="25">
        <v>2.5</v>
      </c>
      <c r="J58" s="58">
        <v>4</v>
      </c>
      <c r="K58" s="53" t="s">
        <v>98</v>
      </c>
    </row>
    <row r="59" spans="1:12" ht="14.4" customHeight="1" x14ac:dyDescent="0.25">
      <c r="A59" s="57" t="s">
        <v>90</v>
      </c>
      <c r="B59" s="75">
        <f t="shared" ref="B59:J59" si="10">$B$43*B61/B58*2</f>
        <v>240.8</v>
      </c>
      <c r="C59" s="75" t="e">
        <f t="shared" si="10"/>
        <v>#DIV/0!</v>
      </c>
      <c r="D59" s="75">
        <f t="shared" si="10"/>
        <v>160.53333333333333</v>
      </c>
      <c r="E59" s="75" t="e">
        <f t="shared" si="10"/>
        <v>#DIV/0!</v>
      </c>
      <c r="F59" s="75" t="e">
        <f t="shared" si="10"/>
        <v>#DIV/0!</v>
      </c>
      <c r="G59" s="75">
        <f t="shared" si="10"/>
        <v>120.4</v>
      </c>
      <c r="H59" s="75">
        <f t="shared" si="10"/>
        <v>80.266666666666666</v>
      </c>
      <c r="I59" s="75">
        <f t="shared" si="10"/>
        <v>48.160000000000004</v>
      </c>
      <c r="J59" s="75">
        <f t="shared" si="10"/>
        <v>30.1</v>
      </c>
      <c r="K59" s="54" t="s">
        <v>91</v>
      </c>
    </row>
    <row r="60" spans="1:12" ht="14.4" customHeight="1" thickBot="1" x14ac:dyDescent="0.3">
      <c r="A60" s="59" t="s">
        <v>92</v>
      </c>
      <c r="B60" s="75">
        <f>B59/2</f>
        <v>120.4</v>
      </c>
      <c r="C60" s="75" t="e">
        <f t="shared" ref="C60:J60" si="11">C59/2</f>
        <v>#DIV/0!</v>
      </c>
      <c r="D60" s="75">
        <f t="shared" si="11"/>
        <v>80.266666666666666</v>
      </c>
      <c r="E60" s="75" t="e">
        <f t="shared" si="11"/>
        <v>#DIV/0!</v>
      </c>
      <c r="F60" s="75" t="e">
        <f t="shared" si="11"/>
        <v>#DIV/0!</v>
      </c>
      <c r="G60" s="75">
        <f t="shared" si="11"/>
        <v>60.2</v>
      </c>
      <c r="H60" s="75">
        <f t="shared" si="11"/>
        <v>40.133333333333333</v>
      </c>
      <c r="I60" s="75">
        <f t="shared" si="11"/>
        <v>24.080000000000002</v>
      </c>
      <c r="J60" s="75">
        <f t="shared" si="11"/>
        <v>15.05</v>
      </c>
      <c r="K60" s="60" t="s">
        <v>91</v>
      </c>
    </row>
    <row r="61" spans="1:12" ht="14.4" customHeight="1" thickBot="1" x14ac:dyDescent="0.3">
      <c r="A61" s="28" t="s">
        <v>99</v>
      </c>
      <c r="B61" s="63">
        <f>IF(IFERROR((((($B$48)/$B$47)*B$58)/$B$43),9999)&gt;3500,3500,IFERROR((((($B$48)/$B$47)*B$58)/$B$43),9999))</f>
        <v>3500</v>
      </c>
      <c r="C61" s="63">
        <f t="shared" ref="C61:J61" si="12">IF(IFERROR((((($B$48)/$B$47)*C$58)/$B$43),9999)&gt;3500,3500,IFERROR((((($B$48)/$B$47)*C$58)/$B$43),9999))</f>
        <v>3500</v>
      </c>
      <c r="D61" s="63">
        <f t="shared" si="12"/>
        <v>3500</v>
      </c>
      <c r="E61" s="63">
        <f t="shared" si="12"/>
        <v>3500</v>
      </c>
      <c r="F61" s="63">
        <f t="shared" si="12"/>
        <v>3500</v>
      </c>
      <c r="G61" s="63">
        <f t="shared" si="12"/>
        <v>3500</v>
      </c>
      <c r="H61" s="63">
        <f t="shared" si="12"/>
        <v>3500</v>
      </c>
      <c r="I61" s="63">
        <f t="shared" si="12"/>
        <v>3500</v>
      </c>
      <c r="J61" s="63">
        <f t="shared" si="12"/>
        <v>3500</v>
      </c>
      <c r="K61" s="28" t="s">
        <v>89</v>
      </c>
    </row>
    <row r="62" spans="1:12" ht="14.4" customHeight="1" x14ac:dyDescent="0.25">
      <c r="A62" s="12"/>
      <c r="B62" s="52" t="s">
        <v>100</v>
      </c>
      <c r="D62" s="52"/>
      <c r="E62" s="17"/>
    </row>
    <row r="63" spans="1:12" ht="14.4" customHeight="1" thickBot="1" x14ac:dyDescent="0.3">
      <c r="A63" s="12"/>
      <c r="E63" s="17"/>
    </row>
    <row r="64" spans="1:12" ht="14.4" customHeight="1" thickBot="1" x14ac:dyDescent="0.3">
      <c r="A64" s="8" t="s">
        <v>101</v>
      </c>
      <c r="B64" s="48"/>
      <c r="C64" s="48"/>
      <c r="D64" s="49"/>
      <c r="E64" s="17"/>
    </row>
    <row r="65" spans="1:12" ht="14.4" customHeight="1" x14ac:dyDescent="0.25">
      <c r="A65" s="30" t="s">
        <v>102</v>
      </c>
      <c r="B65" s="76">
        <f>$B$10</f>
        <v>1.5</v>
      </c>
      <c r="C65" s="25"/>
      <c r="D65" s="31" t="s">
        <v>98</v>
      </c>
      <c r="E65" s="17"/>
      <c r="H65" s="51" t="str">
        <f>IF(B65&lt;0.5,"Error: The Minimum Cable Seccion in the Loop is 0,5 mm2","")</f>
        <v/>
      </c>
    </row>
    <row r="66" spans="1:12" ht="14.4" customHeight="1" x14ac:dyDescent="0.25">
      <c r="A66" s="15" t="s">
        <v>103</v>
      </c>
      <c r="B66" s="89">
        <f>$B$11</f>
        <v>1000</v>
      </c>
      <c r="C66" s="27"/>
      <c r="D66" s="29" t="s">
        <v>51</v>
      </c>
      <c r="E66" s="17"/>
      <c r="H66" s="51" t="str">
        <f>IF(B66&gt;3500,"Error: The Maximum Lenght in the Line is 3500 meters","")</f>
        <v/>
      </c>
    </row>
    <row r="67" spans="1:12" ht="14.4" customHeight="1" x14ac:dyDescent="0.25">
      <c r="A67" s="15" t="s">
        <v>104</v>
      </c>
      <c r="B67" s="89">
        <f>((($B$43*B66)/B65)*2)</f>
        <v>22.933333333333334</v>
      </c>
      <c r="C67" s="27"/>
      <c r="D67" s="38" t="s">
        <v>91</v>
      </c>
      <c r="E67" s="17"/>
    </row>
    <row r="68" spans="1:12" ht="14.4" customHeight="1" thickBot="1" x14ac:dyDescent="0.3">
      <c r="A68" s="16" t="s">
        <v>105</v>
      </c>
      <c r="B68" s="99">
        <f>B67/2</f>
        <v>11.466666666666667</v>
      </c>
      <c r="C68" s="39"/>
      <c r="D68" s="40" t="s">
        <v>91</v>
      </c>
      <c r="E68" s="17"/>
    </row>
    <row r="69" spans="1:12" ht="14.4" customHeight="1" x14ac:dyDescent="0.25">
      <c r="A69" s="105" t="s">
        <v>106</v>
      </c>
      <c r="B69" s="106">
        <f>$B$48/$B$68</f>
        <v>0.6017441860465117</v>
      </c>
      <c r="C69" s="107"/>
      <c r="D69" s="106" t="s">
        <v>82</v>
      </c>
      <c r="E69" s="17"/>
    </row>
    <row r="70" spans="1:12" ht="14.4" customHeight="1" thickBot="1" x14ac:dyDescent="0.3">
      <c r="A70" s="102"/>
      <c r="B70" s="103"/>
      <c r="C70" s="104"/>
      <c r="D70" s="103"/>
      <c r="E70" s="17"/>
    </row>
    <row r="71" spans="1:12" ht="14.4" customHeight="1" thickBot="1" x14ac:dyDescent="0.3">
      <c r="A71" s="8" t="s">
        <v>48</v>
      </c>
      <c r="B71" s="48"/>
      <c r="C71" s="48"/>
      <c r="D71" s="49"/>
      <c r="E71" s="17"/>
    </row>
    <row r="72" spans="1:12" ht="14.4" customHeight="1" thickBot="1" x14ac:dyDescent="0.3">
      <c r="A72" s="8" t="s">
        <v>35</v>
      </c>
      <c r="B72" s="49"/>
      <c r="D72" s="56" t="str">
        <f>IF($B$47&gt;0.5,"FAIL",IF($B$69&gt;=$B$47,"OK","FAIL"))</f>
        <v>OK</v>
      </c>
      <c r="E72" s="17"/>
      <c r="G72" s="51"/>
      <c r="H72" s="51"/>
    </row>
    <row r="73" spans="1:12" ht="14.4" customHeight="1" thickBot="1" x14ac:dyDescent="0.3">
      <c r="A73" s="8" t="s">
        <v>36</v>
      </c>
      <c r="B73" s="49"/>
      <c r="C73" s="44"/>
      <c r="D73" s="55" t="str">
        <f>IF($M$33&lt;=200,"OK","FAIL")</f>
        <v>OK</v>
      </c>
      <c r="E73" s="17"/>
      <c r="G73" s="51"/>
      <c r="H73" s="51"/>
    </row>
    <row r="74" spans="1:12" ht="14.4" customHeight="1" x14ac:dyDescent="0.25">
      <c r="A74" s="12"/>
      <c r="D74" s="51" t="str">
        <f>IF($B$47&gt;0.5,"Error: The Loop Current is upper that Maximum Current allowed",IF($B$69&lt;$B$47,"Error: The Loop Current is upper that Maximum Current allowed",""))</f>
        <v/>
      </c>
      <c r="E74" s="17"/>
    </row>
    <row r="75" spans="1:12" ht="14.4" customHeight="1" x14ac:dyDescent="0.25">
      <c r="A75" s="12"/>
      <c r="D75" s="51" t="str">
        <f>IF($M$33&gt;200,"Error: The Loop cannot contain more than 200 addresses","")</f>
        <v/>
      </c>
      <c r="E75" s="17"/>
    </row>
    <row r="77" spans="1:12" ht="27" customHeight="1" x14ac:dyDescent="0.25">
      <c r="A77" s="133" t="s">
        <v>45</v>
      </c>
      <c r="B77" s="133"/>
      <c r="C77" s="133"/>
      <c r="D77" s="133"/>
      <c r="E77" s="133"/>
      <c r="F77" s="133"/>
      <c r="G77" s="133"/>
      <c r="H77" s="133"/>
      <c r="I77" s="133"/>
      <c r="J77" s="133"/>
      <c r="K77" s="133"/>
      <c r="L77" s="133"/>
    </row>
  </sheetData>
  <sheetProtection sheet="1" sort="0" autoFilter="0" pivotTables="0"/>
  <mergeCells count="3">
    <mergeCell ref="K10:L10"/>
    <mergeCell ref="K11:L11"/>
    <mergeCell ref="A77:L77"/>
  </mergeCells>
  <conditionalFormatting sqref="B11">
    <cfRule type="cellIs" dxfId="71" priority="1" operator="greaterThan">
      <formula>3500</formula>
    </cfRule>
  </conditionalFormatting>
  <conditionalFormatting sqref="B19:B32">
    <cfRule type="cellIs" dxfId="70" priority="11" operator="greaterThan">
      <formula>200</formula>
    </cfRule>
  </conditionalFormatting>
  <conditionalFormatting sqref="B28">
    <cfRule type="cellIs" dxfId="69" priority="2" operator="greaterThan">
      <formula>30</formula>
    </cfRule>
  </conditionalFormatting>
  <conditionalFormatting sqref="B44:B47">
    <cfRule type="cellIs" dxfId="68" priority="7" operator="greaterThan">
      <formula>0.5</formula>
    </cfRule>
  </conditionalFormatting>
  <conditionalFormatting sqref="B54">
    <cfRule type="containsErrors" dxfId="67" priority="24">
      <formula>ISERROR(B54)</formula>
    </cfRule>
  </conditionalFormatting>
  <conditionalFormatting sqref="B61">
    <cfRule type="containsErrors" dxfId="66" priority="15">
      <formula>ISERROR(B61)</formula>
    </cfRule>
  </conditionalFormatting>
  <conditionalFormatting sqref="B52:J53">
    <cfRule type="containsErrors" dxfId="65" priority="18">
      <formula>ISERROR(B52)</formula>
    </cfRule>
  </conditionalFormatting>
  <conditionalFormatting sqref="B59:J60">
    <cfRule type="containsErrors" dxfId="64" priority="17">
      <formula>ISERROR(B59)</formula>
    </cfRule>
  </conditionalFormatting>
  <conditionalFormatting sqref="D38:D40">
    <cfRule type="expression" dxfId="63" priority="9" stopIfTrue="1">
      <formula>#REF!&gt;2</formula>
    </cfRule>
    <cfRule type="expression" dxfId="62" priority="10" stopIfTrue="1">
      <formula>#REF!&lt;3</formula>
    </cfRule>
  </conditionalFormatting>
  <conditionalFormatting sqref="D72:D73">
    <cfRule type="cellIs" dxfId="61" priority="21" stopIfTrue="1" operator="equal">
      <formula>"FAIL"</formula>
    </cfRule>
  </conditionalFormatting>
  <conditionalFormatting sqref="D33:H33">
    <cfRule type="cellIs" dxfId="60" priority="6" operator="greaterThan">
      <formula>0.5</formula>
    </cfRule>
  </conditionalFormatting>
  <conditionalFormatting sqref="D54:J54">
    <cfRule type="containsErrors" dxfId="59" priority="16">
      <formula>ISERROR(D54)</formula>
    </cfRule>
  </conditionalFormatting>
  <conditionalFormatting sqref="D61:J61">
    <cfRule type="containsErrors" dxfId="58" priority="14">
      <formula>ISERROR(D61)</formula>
    </cfRule>
  </conditionalFormatting>
  <conditionalFormatting sqref="I31">
    <cfRule type="cellIs" dxfId="57" priority="3" operator="equal">
      <formula>0</formula>
    </cfRule>
  </conditionalFormatting>
  <conditionalFormatting sqref="I33:M33">
    <cfRule type="cellIs" dxfId="56" priority="5" operator="greaterThan">
      <formula>200</formula>
    </cfRule>
  </conditionalFormatting>
  <conditionalFormatting sqref="K19:K32">
    <cfRule type="cellIs" dxfId="55" priority="13" operator="equal">
      <formula>0</formula>
    </cfRule>
  </conditionalFormatting>
  <conditionalFormatting sqref="M10:M11">
    <cfRule type="cellIs" dxfId="54" priority="19" stopIfTrue="1" operator="equal">
      <formula>"FAIL"</formula>
    </cfRule>
  </conditionalFormatting>
  <pageMargins left="0.78740157480314965" right="0.39370078740157483" top="0.39370078740157483" bottom="0.39370078740157483" header="0" footer="0"/>
  <pageSetup paperSize="9" scale="60" orientation="portrait" horizontalDpi="1200" verticalDpi="1200" r:id="rId1"/>
  <headerFooter alignWithMargins="0">
    <oddHeader>&amp;L&amp;F&amp;R&amp;A</oddHeader>
    <oddFooter>&amp;L&amp;P / &amp;N&amp;R&amp;D &amp;T</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2ABB9B98-31DB-4F03-B62E-C7115037C501}">
          <x14:formula1>
            <xm:f>Data!$A$9:$A$14</xm:f>
          </x14:formula1>
          <xm:sqref>B10</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A2469-CC32-49E9-86FC-DF31A303B784}">
  <sheetPr>
    <pageSetUpPr fitToPage="1"/>
  </sheetPr>
  <dimension ref="A1:M77"/>
  <sheetViews>
    <sheetView zoomScale="130" zoomScaleNormal="130" workbookViewId="0"/>
  </sheetViews>
  <sheetFormatPr defaultColWidth="11.44140625" defaultRowHeight="13.2" x14ac:dyDescent="0.25"/>
  <cols>
    <col min="1" max="1" width="64.6640625" customWidth="1"/>
    <col min="2" max="2" width="10.6640625" customWidth="1"/>
    <col min="3" max="3" width="12.6640625" hidden="1" customWidth="1"/>
    <col min="4" max="4" width="12.6640625" customWidth="1"/>
    <col min="5" max="6" width="12.6640625" hidden="1" customWidth="1"/>
    <col min="7" max="7" width="10.5546875" customWidth="1"/>
    <col min="8" max="8" width="14.6640625" customWidth="1"/>
    <col min="9" max="12" width="6.6640625" customWidth="1"/>
    <col min="13" max="14" width="11.5546875" customWidth="1"/>
  </cols>
  <sheetData>
    <row r="1" spans="1:13" ht="15" customHeight="1" x14ac:dyDescent="0.25">
      <c r="C1" s="68" t="s">
        <v>46</v>
      </c>
      <c r="E1" s="68" t="s">
        <v>46</v>
      </c>
      <c r="F1" s="68" t="s">
        <v>46</v>
      </c>
      <c r="H1" s="1"/>
      <c r="I1" s="2"/>
      <c r="J1" s="2"/>
      <c r="K1" s="2"/>
      <c r="L1" s="2"/>
    </row>
    <row r="2" spans="1:13" ht="15" customHeight="1" x14ac:dyDescent="0.25">
      <c r="H2" s="1"/>
      <c r="I2" s="2"/>
      <c r="J2" s="2"/>
      <c r="K2" s="2"/>
      <c r="L2" s="2"/>
    </row>
    <row r="3" spans="1:13" ht="15" customHeight="1" x14ac:dyDescent="0.25">
      <c r="H3" s="1"/>
      <c r="I3" s="2"/>
      <c r="J3" s="2"/>
      <c r="K3" s="2"/>
      <c r="L3" s="2"/>
    </row>
    <row r="4" spans="1:13" ht="15" customHeight="1" x14ac:dyDescent="0.25">
      <c r="H4" s="1"/>
      <c r="I4" s="2"/>
      <c r="J4" s="2"/>
      <c r="K4" s="2"/>
      <c r="L4" s="2"/>
    </row>
    <row r="5" spans="1:13" ht="15" customHeight="1" x14ac:dyDescent="0.3">
      <c r="A5" s="3"/>
      <c r="H5" s="1"/>
      <c r="I5" s="2"/>
      <c r="J5" s="2"/>
      <c r="K5" s="2"/>
      <c r="L5" s="2"/>
    </row>
    <row r="6" spans="1:13" ht="15" customHeight="1" x14ac:dyDescent="0.3">
      <c r="A6" s="3"/>
      <c r="H6" s="1"/>
      <c r="I6" s="2"/>
      <c r="J6" s="2"/>
      <c r="K6" s="2"/>
      <c r="L6" s="2"/>
    </row>
    <row r="7" spans="1:13" s="7" customFormat="1" ht="13.8" thickBot="1" x14ac:dyDescent="0.3">
      <c r="A7" s="4" t="s">
        <v>0</v>
      </c>
      <c r="B7" s="4"/>
      <c r="C7" s="4"/>
      <c r="D7" s="4"/>
      <c r="E7" s="4"/>
      <c r="F7" s="4"/>
      <c r="G7" s="4"/>
      <c r="H7" s="6"/>
      <c r="I7" s="5"/>
      <c r="J7" s="5"/>
      <c r="K7" s="5"/>
      <c r="L7" s="5"/>
      <c r="M7" s="11" t="s">
        <v>1</v>
      </c>
    </row>
    <row r="8" spans="1:13" s="7" customFormat="1" ht="13.8" thickBot="1" x14ac:dyDescent="0.3">
      <c r="H8" s="19"/>
      <c r="I8" s="20"/>
      <c r="J8" s="20"/>
      <c r="K8" s="20"/>
      <c r="L8" s="20"/>
      <c r="M8" s="21"/>
    </row>
    <row r="9" spans="1:13" s="7" customFormat="1" ht="13.8" thickBot="1" x14ac:dyDescent="0.3">
      <c r="A9" s="13" t="s">
        <v>47</v>
      </c>
      <c r="B9" s="32"/>
      <c r="C9" s="32"/>
      <c r="D9" s="33"/>
      <c r="H9" s="19"/>
      <c r="K9" s="77" t="s">
        <v>48</v>
      </c>
      <c r="L9" s="78"/>
      <c r="M9" s="43"/>
    </row>
    <row r="10" spans="1:13" s="7" customFormat="1" ht="13.8" thickBot="1" x14ac:dyDescent="0.3">
      <c r="A10" s="30" t="s">
        <v>49</v>
      </c>
      <c r="B10" s="67">
        <v>1.5</v>
      </c>
      <c r="C10" s="22"/>
      <c r="D10" s="81">
        <f>VLOOKUP($B$10,Data!$A$9:$B$14,2,FALSE)</f>
        <v>16</v>
      </c>
      <c r="E10" s="82"/>
      <c r="F10" s="12"/>
      <c r="G10" s="100"/>
      <c r="H10" s="100"/>
      <c r="I10" s="100"/>
      <c r="J10" s="101"/>
      <c r="K10" s="134" t="s">
        <v>35</v>
      </c>
      <c r="L10" s="135"/>
      <c r="M10" s="56" t="str">
        <f>IF($B$47&gt;0.5,"FAIL",IF($B$69&gt;=$B$47,"OK","FAIL"))</f>
        <v>OK</v>
      </c>
    </row>
    <row r="11" spans="1:13" s="7" customFormat="1" ht="13.8" thickBot="1" x14ac:dyDescent="0.3">
      <c r="A11" s="16" t="s">
        <v>50</v>
      </c>
      <c r="B11" s="130">
        <v>1000</v>
      </c>
      <c r="C11" s="66"/>
      <c r="E11" s="12"/>
      <c r="F11" s="12"/>
      <c r="G11" s="100"/>
      <c r="H11" s="100"/>
      <c r="I11" s="100"/>
      <c r="J11" s="101"/>
      <c r="K11" s="136" t="s">
        <v>36</v>
      </c>
      <c r="L11" s="137"/>
      <c r="M11" s="55" t="str">
        <f>IF($M$33&lt;=200,"OK","FAIL")</f>
        <v>OK</v>
      </c>
    </row>
    <row r="12" spans="1:13" s="7" customFormat="1" ht="15.6" x14ac:dyDescent="0.25">
      <c r="A12" s="50" t="s">
        <v>52</v>
      </c>
      <c r="D12" s="51" t="str">
        <f>IF(B11&gt;3500,"Error: The Maximum Lenght in the Line is 3500 m","")</f>
        <v/>
      </c>
      <c r="H12" s="19"/>
      <c r="I12" s="20"/>
      <c r="J12" s="20"/>
      <c r="K12" s="20"/>
      <c r="L12" s="21"/>
    </row>
    <row r="13" spans="1:13" s="7" customFormat="1" x14ac:dyDescent="0.25">
      <c r="A13" s="50"/>
      <c r="D13" s="51" t="str">
        <f>IF($B$47&gt;0.5,"Error: The Loop Current is upper that Maximum Current allowed",IF($B$69&lt;$B$47,"Error: The Loop Current is upper that Maximum Current allowed",""))</f>
        <v/>
      </c>
      <c r="H13" s="19"/>
      <c r="I13" s="20"/>
      <c r="J13" s="20"/>
      <c r="K13" s="20"/>
      <c r="L13" s="21"/>
    </row>
    <row r="14" spans="1:13" s="7" customFormat="1" x14ac:dyDescent="0.25">
      <c r="A14" s="50"/>
      <c r="D14" s="51" t="str">
        <f>IF($M$33&gt;250,"Error: The Loop cannot contain more than 200 addresses","")</f>
        <v/>
      </c>
      <c r="H14" s="19"/>
      <c r="I14" s="20"/>
      <c r="J14" s="20"/>
      <c r="K14" s="20"/>
      <c r="L14" s="21"/>
    </row>
    <row r="15" spans="1:13" s="7" customFormat="1" x14ac:dyDescent="0.25">
      <c r="A15" s="50"/>
      <c r="H15" s="19"/>
      <c r="I15" s="20"/>
      <c r="J15" s="20"/>
      <c r="K15" s="20"/>
      <c r="L15" s="21"/>
    </row>
    <row r="16" spans="1:13" ht="13.8" thickBot="1" x14ac:dyDescent="0.3">
      <c r="B16" s="10" t="s">
        <v>53</v>
      </c>
      <c r="C16" s="10" t="s">
        <v>53</v>
      </c>
    </row>
    <row r="17" spans="1:13" ht="13.8" thickBot="1" x14ac:dyDescent="0.3">
      <c r="A17" s="8" t="s">
        <v>54</v>
      </c>
      <c r="B17" s="9"/>
      <c r="C17" s="9"/>
      <c r="D17" s="9"/>
      <c r="E17" s="9"/>
      <c r="F17" s="9"/>
      <c r="G17" s="9"/>
      <c r="H17" s="48"/>
      <c r="I17" s="48"/>
      <c r="J17" s="48"/>
      <c r="K17" s="48"/>
      <c r="L17" s="48"/>
      <c r="M17" s="49"/>
    </row>
    <row r="18" spans="1:13" s="7" customFormat="1" ht="13.8" thickBot="1" x14ac:dyDescent="0.3">
      <c r="A18" s="46" t="s">
        <v>55</v>
      </c>
      <c r="B18" s="47" t="s">
        <v>12</v>
      </c>
      <c r="C18" s="47" t="s">
        <v>7</v>
      </c>
      <c r="D18" s="47" t="s">
        <v>7</v>
      </c>
      <c r="E18" s="47" t="s">
        <v>56</v>
      </c>
      <c r="F18" s="47" t="s">
        <v>8</v>
      </c>
      <c r="G18" s="47" t="s">
        <v>8</v>
      </c>
      <c r="H18" s="47" t="s">
        <v>57</v>
      </c>
      <c r="I18" s="87" t="s">
        <v>58</v>
      </c>
      <c r="J18" s="87" t="s">
        <v>59</v>
      </c>
      <c r="K18" s="87" t="s">
        <v>60</v>
      </c>
      <c r="L18" s="87" t="s">
        <v>61</v>
      </c>
      <c r="M18" s="88" t="s">
        <v>62</v>
      </c>
    </row>
    <row r="19" spans="1:13" x14ac:dyDescent="0.25">
      <c r="A19" s="30" t="s">
        <v>63</v>
      </c>
      <c r="B19" s="98">
        <v>0</v>
      </c>
      <c r="C19" s="64">
        <f>0.3/1000</f>
        <v>2.9999999999999997E-4</v>
      </c>
      <c r="D19" s="72">
        <f>B19*C19</f>
        <v>0</v>
      </c>
      <c r="E19" s="83">
        <f>B19</f>
        <v>0</v>
      </c>
      <c r="F19" s="64">
        <f t="shared" ref="F19:F24" si="0">1/1000</f>
        <v>1E-3</v>
      </c>
      <c r="G19" s="72">
        <f>E19*F19</f>
        <v>0</v>
      </c>
      <c r="H19" s="25"/>
      <c r="I19" s="79"/>
      <c r="J19" s="79"/>
      <c r="K19" s="89" t="str">
        <f>IF(B19&lt;&gt;0,B19," ")</f>
        <v xml:space="preserve"> </v>
      </c>
      <c r="L19" s="79"/>
      <c r="M19" s="90" t="str">
        <f>IF(K19&lt;&gt;0,K19," ")</f>
        <v xml:space="preserve"> </v>
      </c>
    </row>
    <row r="20" spans="1:13" x14ac:dyDescent="0.25">
      <c r="A20" s="30" t="s">
        <v>64</v>
      </c>
      <c r="B20" s="98">
        <v>0</v>
      </c>
      <c r="C20" s="14">
        <v>2.9999999999999997E-4</v>
      </c>
      <c r="D20" s="72">
        <f t="shared" ref="D20:D32" si="1">B20*C20</f>
        <v>0</v>
      </c>
      <c r="E20" s="83">
        <f t="shared" ref="E20:E32" si="2">B20</f>
        <v>0</v>
      </c>
      <c r="F20" s="14">
        <f t="shared" si="0"/>
        <v>1E-3</v>
      </c>
      <c r="G20" s="72">
        <f t="shared" ref="G20:G32" si="3">E20*F20</f>
        <v>0</v>
      </c>
      <c r="H20" s="27"/>
      <c r="I20" s="79"/>
      <c r="J20" s="89" t="str">
        <f>IF(B20&lt;&gt;0,B20," ")</f>
        <v xml:space="preserve"> </v>
      </c>
      <c r="K20" s="91"/>
      <c r="L20" s="91"/>
      <c r="M20" s="90" t="str">
        <f>IF(J20&lt;&gt;0,J20," ")</f>
        <v xml:space="preserve"> </v>
      </c>
    </row>
    <row r="21" spans="1:13" x14ac:dyDescent="0.25">
      <c r="A21" s="15" t="s">
        <v>65</v>
      </c>
      <c r="B21" s="98">
        <v>0</v>
      </c>
      <c r="C21" s="14">
        <v>2.9999999999999997E-4</v>
      </c>
      <c r="D21" s="72">
        <f t="shared" si="1"/>
        <v>0</v>
      </c>
      <c r="E21" s="83">
        <f t="shared" si="2"/>
        <v>0</v>
      </c>
      <c r="F21" s="14">
        <f t="shared" si="0"/>
        <v>1E-3</v>
      </c>
      <c r="G21" s="72">
        <f t="shared" si="3"/>
        <v>0</v>
      </c>
      <c r="H21" s="27"/>
      <c r="I21" s="79"/>
      <c r="J21" s="89" t="str">
        <f>IF(B21&lt;&gt;0,B21," ")</f>
        <v xml:space="preserve"> </v>
      </c>
      <c r="K21" s="91"/>
      <c r="L21" s="91"/>
      <c r="M21" s="90" t="str">
        <f>IF(J21&lt;&gt;0,J21," ")</f>
        <v xml:space="preserve"> </v>
      </c>
    </row>
    <row r="22" spans="1:13" x14ac:dyDescent="0.25">
      <c r="A22" s="15" t="s">
        <v>66</v>
      </c>
      <c r="B22" s="98">
        <v>0</v>
      </c>
      <c r="C22" s="14">
        <v>2.9999999999999997E-4</v>
      </c>
      <c r="D22" s="72">
        <f t="shared" si="1"/>
        <v>0</v>
      </c>
      <c r="E22" s="83">
        <f t="shared" si="2"/>
        <v>0</v>
      </c>
      <c r="F22" s="14">
        <f t="shared" si="0"/>
        <v>1E-3</v>
      </c>
      <c r="G22" s="72">
        <f t="shared" si="3"/>
        <v>0</v>
      </c>
      <c r="H22" s="27"/>
      <c r="I22" s="79"/>
      <c r="J22" s="89" t="str">
        <f>IF(B22&lt;&gt;0,B22," ")</f>
        <v xml:space="preserve"> </v>
      </c>
      <c r="K22" s="91"/>
      <c r="L22" s="91"/>
      <c r="M22" s="90" t="str">
        <f>IF(J22&lt;&gt;0,J22," ")</f>
        <v xml:space="preserve"> </v>
      </c>
    </row>
    <row r="23" spans="1:13" x14ac:dyDescent="0.25">
      <c r="A23" s="15" t="s">
        <v>67</v>
      </c>
      <c r="B23" s="98">
        <v>0</v>
      </c>
      <c r="C23" s="14">
        <f t="shared" ref="C23:C28" si="4">0.25/1000</f>
        <v>2.5000000000000001E-4</v>
      </c>
      <c r="D23" s="72">
        <f t="shared" si="1"/>
        <v>0</v>
      </c>
      <c r="E23" s="83">
        <f t="shared" si="2"/>
        <v>0</v>
      </c>
      <c r="F23" s="14">
        <f t="shared" si="0"/>
        <v>1E-3</v>
      </c>
      <c r="G23" s="72">
        <f t="shared" si="3"/>
        <v>0</v>
      </c>
      <c r="H23" s="27"/>
      <c r="I23" s="79"/>
      <c r="J23" s="91"/>
      <c r="K23" s="89" t="str">
        <f>IF(B23&lt;&gt;0,B23," ")</f>
        <v xml:space="preserve"> </v>
      </c>
      <c r="L23" s="91"/>
      <c r="M23" s="90" t="str">
        <f>IF(K23&lt;&gt;0,K23," ")</f>
        <v xml:space="preserve"> </v>
      </c>
    </row>
    <row r="24" spans="1:13" x14ac:dyDescent="0.25">
      <c r="A24" s="15" t="s">
        <v>68</v>
      </c>
      <c r="B24" s="98">
        <v>0</v>
      </c>
      <c r="C24" s="14">
        <f t="shared" si="4"/>
        <v>2.5000000000000001E-4</v>
      </c>
      <c r="D24" s="72">
        <f t="shared" si="1"/>
        <v>0</v>
      </c>
      <c r="E24" s="83">
        <f t="shared" si="2"/>
        <v>0</v>
      </c>
      <c r="F24" s="14">
        <f t="shared" si="0"/>
        <v>1E-3</v>
      </c>
      <c r="G24" s="72">
        <f t="shared" si="3"/>
        <v>0</v>
      </c>
      <c r="H24" s="27"/>
      <c r="I24" s="79"/>
      <c r="J24" s="91"/>
      <c r="K24" s="89" t="str">
        <f>IF(B24&lt;&gt;0,B24," ")</f>
        <v xml:space="preserve"> </v>
      </c>
      <c r="L24" s="91"/>
      <c r="M24" s="90" t="str">
        <f>IF(K24&lt;&gt;0,K24," ")</f>
        <v xml:space="preserve"> </v>
      </c>
    </row>
    <row r="25" spans="1:13" x14ac:dyDescent="0.25">
      <c r="A25" s="15" t="s">
        <v>69</v>
      </c>
      <c r="B25" s="98">
        <v>0</v>
      </c>
      <c r="C25" s="14">
        <f t="shared" si="4"/>
        <v>2.5000000000000001E-4</v>
      </c>
      <c r="D25" s="72">
        <f t="shared" si="1"/>
        <v>0</v>
      </c>
      <c r="E25" s="83">
        <f t="shared" si="2"/>
        <v>0</v>
      </c>
      <c r="F25" s="14">
        <f>0.25/1000</f>
        <v>2.5000000000000001E-4</v>
      </c>
      <c r="G25" s="72">
        <f t="shared" si="3"/>
        <v>0</v>
      </c>
      <c r="H25" s="27"/>
      <c r="I25" s="79"/>
      <c r="J25" s="91"/>
      <c r="K25" s="89" t="str">
        <f>IF(B25&lt;&gt;0,B25," ")</f>
        <v xml:space="preserve"> </v>
      </c>
      <c r="L25" s="91"/>
      <c r="M25" s="90" t="str">
        <f>IF(K25&lt;&gt;0,K25," ")</f>
        <v xml:space="preserve"> </v>
      </c>
    </row>
    <row r="26" spans="1:13" x14ac:dyDescent="0.25">
      <c r="A26" s="15" t="s">
        <v>70</v>
      </c>
      <c r="B26" s="98">
        <v>0</v>
      </c>
      <c r="C26" s="14">
        <f t="shared" si="4"/>
        <v>2.5000000000000001E-4</v>
      </c>
      <c r="D26" s="72">
        <f t="shared" si="1"/>
        <v>0</v>
      </c>
      <c r="E26" s="83">
        <f t="shared" si="2"/>
        <v>0</v>
      </c>
      <c r="F26" s="14">
        <f>0.25/1000</f>
        <v>2.5000000000000001E-4</v>
      </c>
      <c r="G26" s="72">
        <f t="shared" si="3"/>
        <v>0</v>
      </c>
      <c r="H26" s="73" t="str">
        <f>IF(B26*G26=0," ",G26)</f>
        <v xml:space="preserve"> </v>
      </c>
      <c r="I26" s="79"/>
      <c r="J26" s="91"/>
      <c r="K26" s="91"/>
      <c r="L26" s="89" t="str">
        <f>IF(B26&lt;&gt;0,B26," ")</f>
        <v xml:space="preserve"> </v>
      </c>
      <c r="M26" s="90" t="str">
        <f>IF(L26&lt;&gt;0,L26," ")</f>
        <v xml:space="preserve"> </v>
      </c>
    </row>
    <row r="27" spans="1:13" x14ac:dyDescent="0.25">
      <c r="A27" s="15" t="s">
        <v>71</v>
      </c>
      <c r="B27" s="98">
        <v>0</v>
      </c>
      <c r="C27" s="14">
        <f t="shared" si="4"/>
        <v>2.5000000000000001E-4</v>
      </c>
      <c r="D27" s="72">
        <f t="shared" si="1"/>
        <v>0</v>
      </c>
      <c r="E27" s="83">
        <f t="shared" si="2"/>
        <v>0</v>
      </c>
      <c r="F27" s="14">
        <f>0.25/1000</f>
        <v>2.5000000000000001E-4</v>
      </c>
      <c r="G27" s="72">
        <f t="shared" si="3"/>
        <v>0</v>
      </c>
      <c r="H27" s="73" t="str">
        <f t="shared" ref="H27:H28" si="5">IF(B27*G27=0," ",G27)</f>
        <v xml:space="preserve"> </v>
      </c>
      <c r="I27" s="79"/>
      <c r="J27" s="91"/>
      <c r="K27" s="91"/>
      <c r="L27" s="89" t="str">
        <f>IF(B27&lt;&gt;0,B27," ")</f>
        <v xml:space="preserve"> </v>
      </c>
      <c r="M27" s="90" t="str">
        <f>IF(L27&lt;&gt;0,L27," ")</f>
        <v xml:space="preserve"> </v>
      </c>
    </row>
    <row r="28" spans="1:13" x14ac:dyDescent="0.25">
      <c r="A28" s="15" t="s">
        <v>72</v>
      </c>
      <c r="B28" s="98">
        <v>0</v>
      </c>
      <c r="C28" s="14">
        <f t="shared" si="4"/>
        <v>2.5000000000000001E-4</v>
      </c>
      <c r="D28" s="72">
        <f t="shared" si="1"/>
        <v>0</v>
      </c>
      <c r="E28" s="83">
        <f t="shared" si="2"/>
        <v>0</v>
      </c>
      <c r="F28" s="14">
        <f>10/1000</f>
        <v>0.01</v>
      </c>
      <c r="G28" s="72">
        <f t="shared" si="3"/>
        <v>0</v>
      </c>
      <c r="H28" s="73" t="str">
        <f t="shared" si="5"/>
        <v xml:space="preserve"> </v>
      </c>
      <c r="I28" s="79"/>
      <c r="J28" s="91"/>
      <c r="K28" s="91"/>
      <c r="L28" s="89" t="str">
        <f>IF(B28&lt;&gt;0,B28," ")</f>
        <v xml:space="preserve"> </v>
      </c>
      <c r="M28" s="90" t="str">
        <f>IF(L28&lt;&gt;0,L28," ")</f>
        <v xml:space="preserve"> </v>
      </c>
    </row>
    <row r="29" spans="1:13" x14ac:dyDescent="0.25">
      <c r="A29" s="15" t="s">
        <v>73</v>
      </c>
      <c r="B29" s="98">
        <v>0</v>
      </c>
      <c r="C29" s="14">
        <f>9/1000</f>
        <v>8.9999999999999993E-3</v>
      </c>
      <c r="D29" s="72">
        <f t="shared" si="1"/>
        <v>0</v>
      </c>
      <c r="E29" s="83">
        <f t="shared" si="2"/>
        <v>0</v>
      </c>
      <c r="F29" s="14">
        <f>46/1000</f>
        <v>4.5999999999999999E-2</v>
      </c>
      <c r="G29" s="72">
        <f t="shared" si="3"/>
        <v>0</v>
      </c>
      <c r="H29" s="27"/>
      <c r="I29" s="79"/>
      <c r="J29" s="91"/>
      <c r="K29" s="89" t="str">
        <f>IF(B29&lt;&gt;0,B29," ")</f>
        <v xml:space="preserve"> </v>
      </c>
      <c r="L29" s="91"/>
      <c r="M29" s="90" t="str">
        <f>IF(K29&lt;&gt;0,K29," ")</f>
        <v xml:space="preserve"> </v>
      </c>
    </row>
    <row r="30" spans="1:13" x14ac:dyDescent="0.25">
      <c r="A30" s="15" t="s">
        <v>74</v>
      </c>
      <c r="B30" s="98">
        <v>0</v>
      </c>
      <c r="C30" s="14">
        <f>2/1000</f>
        <v>2E-3</v>
      </c>
      <c r="D30" s="72">
        <f t="shared" si="1"/>
        <v>0</v>
      </c>
      <c r="E30" s="83">
        <f t="shared" si="2"/>
        <v>0</v>
      </c>
      <c r="F30" s="14">
        <f>2/1000</f>
        <v>2E-3</v>
      </c>
      <c r="G30" s="72">
        <f t="shared" si="3"/>
        <v>0</v>
      </c>
      <c r="H30" s="27"/>
      <c r="I30" s="79"/>
      <c r="J30" s="91"/>
      <c r="K30" s="89" t="str">
        <f>IF(B30&lt;&gt;0,B30," ")</f>
        <v xml:space="preserve"> </v>
      </c>
      <c r="L30" s="91"/>
      <c r="M30" s="90" t="str">
        <f>IF(K30&lt;&gt;0,K30," ")</f>
        <v xml:space="preserve"> </v>
      </c>
    </row>
    <row r="31" spans="1:13" x14ac:dyDescent="0.25">
      <c r="A31" s="15" t="s">
        <v>75</v>
      </c>
      <c r="B31" s="98">
        <v>0</v>
      </c>
      <c r="C31" s="14">
        <f>0.25/1000</f>
        <v>2.5000000000000001E-4</v>
      </c>
      <c r="D31" s="72">
        <f t="shared" si="1"/>
        <v>0</v>
      </c>
      <c r="E31" s="83">
        <f t="shared" si="2"/>
        <v>0</v>
      </c>
      <c r="F31" s="14">
        <f>0.25/1000</f>
        <v>2.5000000000000001E-4</v>
      </c>
      <c r="G31" s="72">
        <f t="shared" si="3"/>
        <v>0</v>
      </c>
      <c r="H31" s="27"/>
      <c r="I31" s="89" t="str">
        <f>IF(B30&lt;&gt;0,B30," ")</f>
        <v xml:space="preserve"> </v>
      </c>
      <c r="J31" s="91"/>
      <c r="K31" s="91"/>
      <c r="L31" s="91"/>
      <c r="M31" s="92"/>
    </row>
    <row r="32" spans="1:13" ht="13.8" thickBot="1" x14ac:dyDescent="0.3">
      <c r="A32" s="15" t="s">
        <v>76</v>
      </c>
      <c r="B32" s="98">
        <v>0</v>
      </c>
      <c r="C32" s="14">
        <v>6.2500000000000001E-4</v>
      </c>
      <c r="D32" s="72">
        <f t="shared" si="1"/>
        <v>0</v>
      </c>
      <c r="E32" s="83">
        <f t="shared" si="2"/>
        <v>0</v>
      </c>
      <c r="F32" s="65">
        <f>8/1000</f>
        <v>8.0000000000000002E-3</v>
      </c>
      <c r="G32" s="72">
        <f t="shared" si="3"/>
        <v>0</v>
      </c>
      <c r="H32" s="24"/>
      <c r="I32" s="79"/>
      <c r="J32" s="93"/>
      <c r="K32" s="93"/>
      <c r="L32" s="94"/>
      <c r="M32" s="95"/>
    </row>
    <row r="33" spans="1:13" s="7" customFormat="1" ht="13.8" thickBot="1" x14ac:dyDescent="0.3">
      <c r="A33" s="13" t="s">
        <v>77</v>
      </c>
      <c r="B33" s="96">
        <f>SUM(B19:B32)</f>
        <v>0</v>
      </c>
      <c r="C33" s="70"/>
      <c r="D33" s="69">
        <f>SUM(D19:D32)</f>
        <v>0</v>
      </c>
      <c r="E33" s="69">
        <f>SUM(E19:E31)</f>
        <v>0</v>
      </c>
      <c r="F33" s="69"/>
      <c r="G33" s="69">
        <f t="shared" ref="G33:M33" si="6">SUM(G19:G32)</f>
        <v>0</v>
      </c>
      <c r="H33" s="69">
        <f t="shared" si="6"/>
        <v>0</v>
      </c>
      <c r="I33" s="96">
        <f>SUM(I19:I32)</f>
        <v>0</v>
      </c>
      <c r="J33" s="96">
        <f t="shared" si="6"/>
        <v>0</v>
      </c>
      <c r="K33" s="96">
        <f t="shared" si="6"/>
        <v>0</v>
      </c>
      <c r="L33" s="96">
        <f t="shared" si="6"/>
        <v>0</v>
      </c>
      <c r="M33" s="97">
        <f t="shared" si="6"/>
        <v>0</v>
      </c>
    </row>
    <row r="34" spans="1:13" s="7" customFormat="1" x14ac:dyDescent="0.25">
      <c r="B34" s="34"/>
      <c r="C34" s="35"/>
      <c r="D34" s="51" t="str">
        <f>IF(M33&gt;200,"Error: The Loop cannot contain more than 200 addresses","")</f>
        <v/>
      </c>
      <c r="E34" s="37"/>
      <c r="F34" s="36"/>
      <c r="G34" s="36"/>
      <c r="H34" s="36"/>
      <c r="I34" s="36"/>
      <c r="J34" s="36"/>
      <c r="K34" s="34"/>
      <c r="L34" s="34"/>
    </row>
    <row r="35" spans="1:13" s="7" customFormat="1" x14ac:dyDescent="0.25">
      <c r="A35" s="50"/>
      <c r="D35" s="51" t="str">
        <f>IF(B28&gt;30,"Error: The Loop cannot contain more than 30 Loop Sounders in 1.000 meters","")</f>
        <v/>
      </c>
      <c r="H35" s="19"/>
      <c r="I35" s="20"/>
      <c r="J35" s="20"/>
      <c r="K35" s="20"/>
      <c r="L35" s="21"/>
    </row>
    <row r="36" spans="1:13" s="7" customFormat="1" x14ac:dyDescent="0.25">
      <c r="A36" s="50"/>
      <c r="D36" s="51" t="str">
        <f>IF(AND(B11&gt;1000,B28&gt;19),"Error: The Loop cannot contain more than 19 Loop Sounders in 2.000 meters","")</f>
        <v/>
      </c>
      <c r="H36" s="19"/>
      <c r="I36" s="20"/>
      <c r="J36" s="20"/>
      <c r="K36" s="20"/>
      <c r="L36" s="21"/>
    </row>
    <row r="37" spans="1:13" s="7" customFormat="1" x14ac:dyDescent="0.25">
      <c r="A37" s="50"/>
      <c r="D37" s="51" t="str">
        <f>IF(AND(B29&gt;6),"Error: The Loop cannot contain more than 6 Zone Modules Powered from the Loop","")</f>
        <v/>
      </c>
      <c r="H37" s="19"/>
      <c r="I37" s="20"/>
      <c r="J37" s="20"/>
      <c r="K37" s="20"/>
      <c r="L37" s="21"/>
    </row>
    <row r="38" spans="1:13" s="7" customFormat="1" x14ac:dyDescent="0.25">
      <c r="B38" s="34"/>
      <c r="C38" s="35"/>
      <c r="D38" s="71" t="str">
        <f>IF(OR(B25&gt;0,B27&gt;0,B30&gt;0),"Info: External 24V needed. EN 54-4 certificate."," ")</f>
        <v xml:space="preserve"> </v>
      </c>
      <c r="E38" s="37"/>
      <c r="F38" s="36"/>
      <c r="G38" s="36"/>
      <c r="H38" s="36"/>
      <c r="I38" s="36"/>
      <c r="J38" s="36"/>
      <c r="K38" s="34"/>
      <c r="L38" s="34"/>
    </row>
    <row r="39" spans="1:13" s="7" customFormat="1" x14ac:dyDescent="0.25">
      <c r="B39" s="34"/>
      <c r="C39" s="35"/>
      <c r="D39" s="71" t="str">
        <f>IF(OR(B25&gt;0,B27&gt;0,B30&gt;0),"        Control Panel could provide from 24Vaux,"," ")</f>
        <v xml:space="preserve"> </v>
      </c>
      <c r="E39" s="37"/>
      <c r="F39" s="36"/>
      <c r="G39" s="36"/>
      <c r="H39" s="36"/>
      <c r="I39" s="36"/>
      <c r="J39" s="36"/>
      <c r="K39" s="34"/>
      <c r="L39" s="34"/>
    </row>
    <row r="40" spans="1:13" s="7" customFormat="1" x14ac:dyDescent="0.25">
      <c r="B40" s="34"/>
      <c r="C40" s="35"/>
      <c r="D40" s="71" t="str">
        <f>IF(OR(B25&gt;0,B27&gt;0,B30&gt;0),"         if 2A maximum current isn't exceeded."," ")</f>
        <v xml:space="preserve"> </v>
      </c>
      <c r="E40" s="37"/>
      <c r="F40" s="36"/>
      <c r="G40" s="36"/>
      <c r="H40" s="36"/>
      <c r="I40" s="36"/>
      <c r="J40" s="36"/>
      <c r="K40" s="34"/>
      <c r="L40" s="34"/>
    </row>
    <row r="41" spans="1:13" ht="14.4" customHeight="1" thickBot="1" x14ac:dyDescent="0.3">
      <c r="E41" s="17"/>
      <c r="K41" s="51"/>
    </row>
    <row r="42" spans="1:13" ht="14.4" customHeight="1" thickBot="1" x14ac:dyDescent="0.3">
      <c r="A42" s="13" t="s">
        <v>78</v>
      </c>
      <c r="B42" s="41"/>
      <c r="C42" s="41"/>
      <c r="D42" s="42"/>
      <c r="E42" s="17"/>
    </row>
    <row r="43" spans="1:13" ht="14.4" customHeight="1" x14ac:dyDescent="0.25">
      <c r="A43" s="30" t="s">
        <v>79</v>
      </c>
      <c r="B43" s="45">
        <v>1.72E-2</v>
      </c>
      <c r="C43" s="25"/>
      <c r="D43" s="31" t="s">
        <v>80</v>
      </c>
      <c r="E43" s="17"/>
    </row>
    <row r="44" spans="1:13" ht="14.4" customHeight="1" x14ac:dyDescent="0.25">
      <c r="A44" s="15" t="s">
        <v>81</v>
      </c>
      <c r="B44" s="74">
        <f>D33</f>
        <v>0</v>
      </c>
      <c r="C44" s="27"/>
      <c r="D44" s="29" t="s">
        <v>82</v>
      </c>
      <c r="E44" s="17"/>
    </row>
    <row r="45" spans="1:13" ht="14.4" customHeight="1" x14ac:dyDescent="0.25">
      <c r="A45" s="15" t="s">
        <v>83</v>
      </c>
      <c r="B45" s="74">
        <f>G33-H33</f>
        <v>0</v>
      </c>
      <c r="C45" s="27"/>
      <c r="D45" s="29" t="s">
        <v>82</v>
      </c>
      <c r="E45" s="17"/>
    </row>
    <row r="46" spans="1:13" ht="14.4" customHeight="1" x14ac:dyDescent="0.25">
      <c r="A46" s="15" t="s">
        <v>84</v>
      </c>
      <c r="B46" s="74">
        <f>H33</f>
        <v>0</v>
      </c>
      <c r="C46" s="27"/>
      <c r="D46" s="29" t="s">
        <v>82</v>
      </c>
      <c r="E46" s="17"/>
    </row>
    <row r="47" spans="1:13" ht="14.4" customHeight="1" x14ac:dyDescent="0.25">
      <c r="A47" s="15" t="s">
        <v>21</v>
      </c>
      <c r="B47" s="74">
        <f>SUM(B44:B46)</f>
        <v>0</v>
      </c>
      <c r="C47" s="27"/>
      <c r="D47" s="29" t="s">
        <v>82</v>
      </c>
      <c r="E47" s="17"/>
    </row>
    <row r="48" spans="1:13" ht="14.4" customHeight="1" thickBot="1" x14ac:dyDescent="0.3">
      <c r="A48" s="16" t="s">
        <v>85</v>
      </c>
      <c r="B48" s="39">
        <v>6.9</v>
      </c>
      <c r="C48" s="39"/>
      <c r="D48" s="18" t="s">
        <v>86</v>
      </c>
      <c r="E48" s="17"/>
    </row>
    <row r="49" spans="1:12" ht="14.4" customHeight="1" thickBot="1" x14ac:dyDescent="0.3">
      <c r="A49" s="12"/>
      <c r="E49" s="17"/>
    </row>
    <row r="50" spans="1:12" ht="14.4" customHeight="1" thickBot="1" x14ac:dyDescent="0.3">
      <c r="A50" s="8" t="s">
        <v>87</v>
      </c>
      <c r="B50" s="48"/>
      <c r="C50" s="48"/>
      <c r="D50" s="48"/>
      <c r="E50" s="84"/>
      <c r="F50" s="48"/>
      <c r="G50" s="48"/>
      <c r="H50" s="48"/>
      <c r="I50" s="48"/>
      <c r="J50" s="48"/>
      <c r="K50" s="49"/>
      <c r="L50" s="52"/>
    </row>
    <row r="51" spans="1:12" ht="14.4" customHeight="1" x14ac:dyDescent="0.25">
      <c r="A51" s="62" t="s">
        <v>88</v>
      </c>
      <c r="B51" s="79">
        <v>1000</v>
      </c>
      <c r="C51" s="79"/>
      <c r="D51" s="79">
        <v>1500</v>
      </c>
      <c r="E51" s="85"/>
      <c r="F51" s="79"/>
      <c r="G51" s="79">
        <v>2000</v>
      </c>
      <c r="H51" s="79">
        <v>2500</v>
      </c>
      <c r="I51" s="79">
        <v>3000</v>
      </c>
      <c r="J51" s="80">
        <v>3500</v>
      </c>
      <c r="K51" s="53" t="s">
        <v>89</v>
      </c>
    </row>
    <row r="52" spans="1:12" ht="14.4" customHeight="1" x14ac:dyDescent="0.25">
      <c r="A52" s="26" t="s">
        <v>90</v>
      </c>
      <c r="B52" s="75">
        <f>((($B$43*B51)/B54)*2)</f>
        <v>68.8</v>
      </c>
      <c r="C52" s="75">
        <f t="shared" ref="C52:J52" si="7">((($B$43*C51)/C54)*2)</f>
        <v>0</v>
      </c>
      <c r="D52" s="75">
        <f t="shared" si="7"/>
        <v>103.2</v>
      </c>
      <c r="E52" s="75">
        <f t="shared" si="7"/>
        <v>0</v>
      </c>
      <c r="F52" s="75">
        <f t="shared" si="7"/>
        <v>0</v>
      </c>
      <c r="G52" s="75">
        <f t="shared" si="7"/>
        <v>137.6</v>
      </c>
      <c r="H52" s="75">
        <f t="shared" si="7"/>
        <v>172</v>
      </c>
      <c r="I52" s="75">
        <f t="shared" si="7"/>
        <v>206.4</v>
      </c>
      <c r="J52" s="75">
        <f t="shared" si="7"/>
        <v>240.8</v>
      </c>
      <c r="K52" s="54" t="s">
        <v>91</v>
      </c>
    </row>
    <row r="53" spans="1:12" ht="14.4" customHeight="1" thickBot="1" x14ac:dyDescent="0.3">
      <c r="A53" s="61" t="s">
        <v>92</v>
      </c>
      <c r="B53" s="75">
        <f>B52/2</f>
        <v>34.4</v>
      </c>
      <c r="C53" s="75">
        <f t="shared" ref="C53:J53" si="8">C52/2</f>
        <v>0</v>
      </c>
      <c r="D53" s="75">
        <f t="shared" si="8"/>
        <v>51.6</v>
      </c>
      <c r="E53" s="75">
        <f t="shared" si="8"/>
        <v>0</v>
      </c>
      <c r="F53" s="75">
        <f t="shared" si="8"/>
        <v>0</v>
      </c>
      <c r="G53" s="75">
        <f t="shared" si="8"/>
        <v>68.8</v>
      </c>
      <c r="H53" s="75">
        <f t="shared" si="8"/>
        <v>86</v>
      </c>
      <c r="I53" s="75">
        <f t="shared" si="8"/>
        <v>103.2</v>
      </c>
      <c r="J53" s="75">
        <f t="shared" si="8"/>
        <v>120.4</v>
      </c>
      <c r="K53" s="60" t="s">
        <v>91</v>
      </c>
    </row>
    <row r="54" spans="1:12" ht="14.4" customHeight="1" thickBot="1" x14ac:dyDescent="0.3">
      <c r="A54" s="13" t="s">
        <v>93</v>
      </c>
      <c r="B54" s="63">
        <f>IF(IFERROR((($B$43*B$51)/(($B$48)/$B$47)),0)&lt;0.5,0.5,IFERROR((($B$43*B$51)/(($B$48)/$B$47)),0))</f>
        <v>0.5</v>
      </c>
      <c r="C54" s="63">
        <f t="shared" ref="C54:J54" si="9">IF(IFERROR((($B$43*C$51)/(($B$48)/$B$47)),0)&lt;0.5,0.5,IFERROR((($B$43*C$51)/(($B$48)/$B$47)),0))</f>
        <v>0.5</v>
      </c>
      <c r="D54" s="63">
        <f t="shared" si="9"/>
        <v>0.5</v>
      </c>
      <c r="E54" s="63">
        <f t="shared" si="9"/>
        <v>0.5</v>
      </c>
      <c r="F54" s="63">
        <f t="shared" si="9"/>
        <v>0.5</v>
      </c>
      <c r="G54" s="63">
        <f t="shared" si="9"/>
        <v>0.5</v>
      </c>
      <c r="H54" s="63">
        <f t="shared" si="9"/>
        <v>0.5</v>
      </c>
      <c r="I54" s="63">
        <f t="shared" si="9"/>
        <v>0.5</v>
      </c>
      <c r="J54" s="63">
        <f t="shared" si="9"/>
        <v>0.5</v>
      </c>
      <c r="K54" s="28" t="s">
        <v>94</v>
      </c>
    </row>
    <row r="55" spans="1:12" ht="14.4" customHeight="1" x14ac:dyDescent="0.25">
      <c r="A55" s="12"/>
      <c r="B55" s="52" t="s">
        <v>95</v>
      </c>
      <c r="D55" s="52"/>
      <c r="E55" s="17"/>
    </row>
    <row r="56" spans="1:12" ht="14.4" customHeight="1" thickBot="1" x14ac:dyDescent="0.3">
      <c r="A56" s="12"/>
      <c r="E56" s="17"/>
    </row>
    <row r="57" spans="1:12" ht="14.4" customHeight="1" thickBot="1" x14ac:dyDescent="0.3">
      <c r="A57" s="8" t="s">
        <v>96</v>
      </c>
      <c r="B57" s="48"/>
      <c r="C57" s="48"/>
      <c r="D57" s="48"/>
      <c r="E57" s="84"/>
      <c r="F57" s="48"/>
      <c r="G57" s="48"/>
      <c r="H57" s="48"/>
      <c r="I57" s="48"/>
      <c r="J57" s="48"/>
      <c r="K57" s="49"/>
      <c r="L57" s="52"/>
    </row>
    <row r="58" spans="1:12" ht="14.4" customHeight="1" x14ac:dyDescent="0.25">
      <c r="A58" s="53" t="s">
        <v>97</v>
      </c>
      <c r="B58" s="23">
        <v>0.5</v>
      </c>
      <c r="C58" s="25"/>
      <c r="D58" s="25">
        <v>0.75</v>
      </c>
      <c r="E58" s="86"/>
      <c r="F58" s="25"/>
      <c r="G58" s="25">
        <v>1</v>
      </c>
      <c r="H58" s="25">
        <v>1.5</v>
      </c>
      <c r="I58" s="25">
        <v>2.5</v>
      </c>
      <c r="J58" s="58">
        <v>4</v>
      </c>
      <c r="K58" s="53" t="s">
        <v>98</v>
      </c>
    </row>
    <row r="59" spans="1:12" ht="14.4" customHeight="1" x14ac:dyDescent="0.25">
      <c r="A59" s="57" t="s">
        <v>90</v>
      </c>
      <c r="B59" s="75">
        <f t="shared" ref="B59:J59" si="10">$B$43*B61/B58*2</f>
        <v>240.8</v>
      </c>
      <c r="C59" s="75" t="e">
        <f t="shared" si="10"/>
        <v>#DIV/0!</v>
      </c>
      <c r="D59" s="75">
        <f t="shared" si="10"/>
        <v>160.53333333333333</v>
      </c>
      <c r="E59" s="75" t="e">
        <f t="shared" si="10"/>
        <v>#DIV/0!</v>
      </c>
      <c r="F59" s="75" t="e">
        <f t="shared" si="10"/>
        <v>#DIV/0!</v>
      </c>
      <c r="G59" s="75">
        <f t="shared" si="10"/>
        <v>120.4</v>
      </c>
      <c r="H59" s="75">
        <f t="shared" si="10"/>
        <v>80.266666666666666</v>
      </c>
      <c r="I59" s="75">
        <f t="shared" si="10"/>
        <v>48.160000000000004</v>
      </c>
      <c r="J59" s="75">
        <f t="shared" si="10"/>
        <v>30.1</v>
      </c>
      <c r="K59" s="54" t="s">
        <v>91</v>
      </c>
    </row>
    <row r="60" spans="1:12" ht="14.4" customHeight="1" thickBot="1" x14ac:dyDescent="0.3">
      <c r="A60" s="59" t="s">
        <v>92</v>
      </c>
      <c r="B60" s="75">
        <f>B59/2</f>
        <v>120.4</v>
      </c>
      <c r="C60" s="75" t="e">
        <f t="shared" ref="C60:J60" si="11">C59/2</f>
        <v>#DIV/0!</v>
      </c>
      <c r="D60" s="75">
        <f t="shared" si="11"/>
        <v>80.266666666666666</v>
      </c>
      <c r="E60" s="75" t="e">
        <f t="shared" si="11"/>
        <v>#DIV/0!</v>
      </c>
      <c r="F60" s="75" t="e">
        <f t="shared" si="11"/>
        <v>#DIV/0!</v>
      </c>
      <c r="G60" s="75">
        <f t="shared" si="11"/>
        <v>60.2</v>
      </c>
      <c r="H60" s="75">
        <f t="shared" si="11"/>
        <v>40.133333333333333</v>
      </c>
      <c r="I60" s="75">
        <f t="shared" si="11"/>
        <v>24.080000000000002</v>
      </c>
      <c r="J60" s="75">
        <f t="shared" si="11"/>
        <v>15.05</v>
      </c>
      <c r="K60" s="60" t="s">
        <v>91</v>
      </c>
    </row>
    <row r="61" spans="1:12" ht="14.4" customHeight="1" thickBot="1" x14ac:dyDescent="0.3">
      <c r="A61" s="28" t="s">
        <v>99</v>
      </c>
      <c r="B61" s="63">
        <f>IF(IFERROR((((($B$48)/$B$47)*B$58)/$B$43),9999)&gt;3500,3500,IFERROR((((($B$48)/$B$47)*B$58)/$B$43),9999))</f>
        <v>3500</v>
      </c>
      <c r="C61" s="63">
        <f t="shared" ref="C61:J61" si="12">IF(IFERROR((((($B$48)/$B$47)*C$58)/$B$43),9999)&gt;3500,3500,IFERROR((((($B$48)/$B$47)*C$58)/$B$43),9999))</f>
        <v>3500</v>
      </c>
      <c r="D61" s="63">
        <f t="shared" si="12"/>
        <v>3500</v>
      </c>
      <c r="E61" s="63">
        <f t="shared" si="12"/>
        <v>3500</v>
      </c>
      <c r="F61" s="63">
        <f t="shared" si="12"/>
        <v>3500</v>
      </c>
      <c r="G61" s="63">
        <f t="shared" si="12"/>
        <v>3500</v>
      </c>
      <c r="H61" s="63">
        <f t="shared" si="12"/>
        <v>3500</v>
      </c>
      <c r="I61" s="63">
        <f t="shared" si="12"/>
        <v>3500</v>
      </c>
      <c r="J61" s="63">
        <f t="shared" si="12"/>
        <v>3500</v>
      </c>
      <c r="K61" s="28" t="s">
        <v>89</v>
      </c>
    </row>
    <row r="62" spans="1:12" ht="14.4" customHeight="1" x14ac:dyDescent="0.25">
      <c r="A62" s="12"/>
      <c r="B62" s="52" t="s">
        <v>100</v>
      </c>
      <c r="D62" s="52"/>
      <c r="E62" s="17"/>
    </row>
    <row r="63" spans="1:12" ht="14.4" customHeight="1" thickBot="1" x14ac:dyDescent="0.3">
      <c r="A63" s="12"/>
      <c r="E63" s="17"/>
    </row>
    <row r="64" spans="1:12" ht="14.4" customHeight="1" thickBot="1" x14ac:dyDescent="0.3">
      <c r="A64" s="8" t="s">
        <v>101</v>
      </c>
      <c r="B64" s="48"/>
      <c r="C64" s="48"/>
      <c r="D64" s="49"/>
      <c r="E64" s="17"/>
    </row>
    <row r="65" spans="1:12" ht="14.4" customHeight="1" x14ac:dyDescent="0.25">
      <c r="A65" s="30" t="s">
        <v>102</v>
      </c>
      <c r="B65" s="76">
        <f>$B$10</f>
        <v>1.5</v>
      </c>
      <c r="C65" s="25"/>
      <c r="D65" s="31" t="s">
        <v>98</v>
      </c>
      <c r="E65" s="17"/>
      <c r="H65" s="51" t="str">
        <f>IF(B65&lt;0.5,"Error: The Minimum Cable Seccion in the Loop is 0,5 mm2","")</f>
        <v/>
      </c>
    </row>
    <row r="66" spans="1:12" ht="14.4" customHeight="1" x14ac:dyDescent="0.25">
      <c r="A66" s="15" t="s">
        <v>103</v>
      </c>
      <c r="B66" s="89">
        <f>$B$11</f>
        <v>1000</v>
      </c>
      <c r="C66" s="27"/>
      <c r="D66" s="29" t="s">
        <v>51</v>
      </c>
      <c r="E66" s="17"/>
      <c r="H66" s="51" t="str">
        <f>IF(B66&gt;3500,"Error: The Maximum Lenght in the Line is 3500 meters","")</f>
        <v/>
      </c>
    </row>
    <row r="67" spans="1:12" ht="14.4" customHeight="1" x14ac:dyDescent="0.25">
      <c r="A67" s="15" t="s">
        <v>104</v>
      </c>
      <c r="B67" s="89">
        <f>((($B$43*B66)/B65)*2)</f>
        <v>22.933333333333334</v>
      </c>
      <c r="C67" s="27"/>
      <c r="D67" s="38" t="s">
        <v>91</v>
      </c>
      <c r="E67" s="17"/>
    </row>
    <row r="68" spans="1:12" ht="14.4" customHeight="1" thickBot="1" x14ac:dyDescent="0.3">
      <c r="A68" s="16" t="s">
        <v>105</v>
      </c>
      <c r="B68" s="99">
        <f>B67/2</f>
        <v>11.466666666666667</v>
      </c>
      <c r="C68" s="39"/>
      <c r="D68" s="40" t="s">
        <v>91</v>
      </c>
      <c r="E68" s="17"/>
    </row>
    <row r="69" spans="1:12" ht="14.4" customHeight="1" x14ac:dyDescent="0.25">
      <c r="A69" s="105" t="s">
        <v>106</v>
      </c>
      <c r="B69" s="106">
        <f>$B$48/$B$68</f>
        <v>0.6017441860465117</v>
      </c>
      <c r="C69" s="107"/>
      <c r="D69" s="106" t="s">
        <v>82</v>
      </c>
      <c r="E69" s="17"/>
    </row>
    <row r="70" spans="1:12" ht="14.4" customHeight="1" thickBot="1" x14ac:dyDescent="0.3">
      <c r="A70" s="102"/>
      <c r="B70" s="103"/>
      <c r="C70" s="104"/>
      <c r="D70" s="103"/>
      <c r="E70" s="17"/>
    </row>
    <row r="71" spans="1:12" ht="14.4" customHeight="1" thickBot="1" x14ac:dyDescent="0.3">
      <c r="A71" s="8" t="s">
        <v>48</v>
      </c>
      <c r="B71" s="48"/>
      <c r="C71" s="48"/>
      <c r="D71" s="49"/>
      <c r="E71" s="17"/>
    </row>
    <row r="72" spans="1:12" ht="14.4" customHeight="1" thickBot="1" x14ac:dyDescent="0.3">
      <c r="A72" s="8" t="s">
        <v>35</v>
      </c>
      <c r="B72" s="49"/>
      <c r="D72" s="56" t="str">
        <f>IF($B$47&gt;0.5,"FAIL",IF($B$69&gt;=$B$47,"OK","FAIL"))</f>
        <v>OK</v>
      </c>
      <c r="E72" s="17"/>
      <c r="G72" s="51"/>
      <c r="H72" s="51"/>
    </row>
    <row r="73" spans="1:12" ht="14.4" customHeight="1" thickBot="1" x14ac:dyDescent="0.3">
      <c r="A73" s="8" t="s">
        <v>36</v>
      </c>
      <c r="B73" s="49"/>
      <c r="C73" s="44"/>
      <c r="D73" s="55" t="str">
        <f>IF($M$33&lt;=200,"OK","FAIL")</f>
        <v>OK</v>
      </c>
      <c r="E73" s="17"/>
      <c r="G73" s="51"/>
      <c r="H73" s="51"/>
    </row>
    <row r="74" spans="1:12" ht="14.4" customHeight="1" x14ac:dyDescent="0.25">
      <c r="A74" s="12"/>
      <c r="D74" s="51" t="str">
        <f>IF($B$47&gt;0.5,"Error: The Loop Current is upper that Maximum Current allowed",IF($B$69&lt;$B$47,"Error: The Loop Current is upper that Maximum Current allowed",""))</f>
        <v/>
      </c>
      <c r="E74" s="17"/>
    </row>
    <row r="75" spans="1:12" ht="14.4" customHeight="1" x14ac:dyDescent="0.25">
      <c r="A75" s="12"/>
      <c r="D75" s="51" t="str">
        <f>IF($M$33&gt;200,"Error: The Loop cannot contain more than 200 addresses","")</f>
        <v/>
      </c>
      <c r="E75" s="17"/>
    </row>
    <row r="77" spans="1:12" ht="27" customHeight="1" x14ac:dyDescent="0.25">
      <c r="A77" s="133" t="s">
        <v>45</v>
      </c>
      <c r="B77" s="133"/>
      <c r="C77" s="133"/>
      <c r="D77" s="133"/>
      <c r="E77" s="133"/>
      <c r="F77" s="133"/>
      <c r="G77" s="133"/>
      <c r="H77" s="133"/>
      <c r="I77" s="133"/>
      <c r="J77" s="133"/>
      <c r="K77" s="133"/>
      <c r="L77" s="133"/>
    </row>
  </sheetData>
  <sheetProtection sheet="1" sort="0" autoFilter="0" pivotTables="0"/>
  <mergeCells count="3">
    <mergeCell ref="K10:L10"/>
    <mergeCell ref="K11:L11"/>
    <mergeCell ref="A77:L77"/>
  </mergeCells>
  <conditionalFormatting sqref="B11">
    <cfRule type="cellIs" dxfId="53" priority="1" operator="greaterThan">
      <formula>3500</formula>
    </cfRule>
  </conditionalFormatting>
  <conditionalFormatting sqref="B19:B32">
    <cfRule type="cellIs" dxfId="52" priority="11" operator="greaterThan">
      <formula>200</formula>
    </cfRule>
  </conditionalFormatting>
  <conditionalFormatting sqref="B28">
    <cfRule type="cellIs" dxfId="51" priority="2" operator="greaterThan">
      <formula>30</formula>
    </cfRule>
  </conditionalFormatting>
  <conditionalFormatting sqref="B44:B47">
    <cfRule type="cellIs" dxfId="50" priority="7" operator="greaterThan">
      <formula>0.5</formula>
    </cfRule>
  </conditionalFormatting>
  <conditionalFormatting sqref="B54">
    <cfRule type="containsErrors" dxfId="49" priority="24">
      <formula>ISERROR(B54)</formula>
    </cfRule>
  </conditionalFormatting>
  <conditionalFormatting sqref="B61">
    <cfRule type="containsErrors" dxfId="48" priority="15">
      <formula>ISERROR(B61)</formula>
    </cfRule>
  </conditionalFormatting>
  <conditionalFormatting sqref="B52:J53">
    <cfRule type="containsErrors" dxfId="47" priority="18">
      <formula>ISERROR(B52)</formula>
    </cfRule>
  </conditionalFormatting>
  <conditionalFormatting sqref="B59:J60">
    <cfRule type="containsErrors" dxfId="46" priority="17">
      <formula>ISERROR(B59)</formula>
    </cfRule>
  </conditionalFormatting>
  <conditionalFormatting sqref="D38:D40">
    <cfRule type="expression" dxfId="45" priority="9" stopIfTrue="1">
      <formula>#REF!&gt;2</formula>
    </cfRule>
    <cfRule type="expression" dxfId="44" priority="10" stopIfTrue="1">
      <formula>#REF!&lt;3</formula>
    </cfRule>
  </conditionalFormatting>
  <conditionalFormatting sqref="D72:D73">
    <cfRule type="cellIs" dxfId="43" priority="21" stopIfTrue="1" operator="equal">
      <formula>"FAIL"</formula>
    </cfRule>
  </conditionalFormatting>
  <conditionalFormatting sqref="D33:H33">
    <cfRule type="cellIs" dxfId="42" priority="6" operator="greaterThan">
      <formula>0.5</formula>
    </cfRule>
  </conditionalFormatting>
  <conditionalFormatting sqref="D54:J54">
    <cfRule type="containsErrors" dxfId="41" priority="16">
      <formula>ISERROR(D54)</formula>
    </cfRule>
  </conditionalFormatting>
  <conditionalFormatting sqref="D61:J61">
    <cfRule type="containsErrors" dxfId="40" priority="14">
      <formula>ISERROR(D61)</formula>
    </cfRule>
  </conditionalFormatting>
  <conditionalFormatting sqref="I31">
    <cfRule type="cellIs" dxfId="39" priority="3" operator="equal">
      <formula>0</formula>
    </cfRule>
  </conditionalFormatting>
  <conditionalFormatting sqref="I33:M33">
    <cfRule type="cellIs" dxfId="38" priority="5" operator="greaterThan">
      <formula>200</formula>
    </cfRule>
  </conditionalFormatting>
  <conditionalFormatting sqref="K19:K32">
    <cfRule type="cellIs" dxfId="37" priority="13" operator="equal">
      <formula>0</formula>
    </cfRule>
  </conditionalFormatting>
  <conditionalFormatting sqref="M10:M11">
    <cfRule type="cellIs" dxfId="36" priority="19" stopIfTrue="1" operator="equal">
      <formula>"FAIL"</formula>
    </cfRule>
  </conditionalFormatting>
  <pageMargins left="0.78740157480314965" right="0.39370078740157483" top="0.39370078740157483" bottom="0.39370078740157483" header="0" footer="0"/>
  <pageSetup paperSize="9" scale="60" orientation="portrait" horizontalDpi="1200" verticalDpi="1200" r:id="rId1"/>
  <headerFooter alignWithMargins="0">
    <oddHeader>&amp;L&amp;F&amp;R&amp;A</oddHeader>
    <oddFooter>&amp;L&amp;P / &amp;N&amp;R&amp;D &amp;T</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CCBC78BB-E2E4-477C-A4DC-080C2F36C461}">
          <x14:formula1>
            <xm:f>Data!$A$9:$A$14</xm:f>
          </x14:formula1>
          <xm:sqref>B10</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8FF88-A900-47EC-86C0-3590082C3BA0}">
  <sheetPr>
    <pageSetUpPr fitToPage="1"/>
  </sheetPr>
  <dimension ref="A1:M77"/>
  <sheetViews>
    <sheetView zoomScale="130" zoomScaleNormal="130" workbookViewId="0"/>
  </sheetViews>
  <sheetFormatPr defaultColWidth="11.44140625" defaultRowHeight="13.2" x14ac:dyDescent="0.25"/>
  <cols>
    <col min="1" max="1" width="64.6640625" customWidth="1"/>
    <col min="2" max="2" width="10.6640625" customWidth="1"/>
    <col min="3" max="3" width="12.6640625" hidden="1" customWidth="1"/>
    <col min="4" max="4" width="12.6640625" customWidth="1"/>
    <col min="5" max="6" width="12.6640625" hidden="1" customWidth="1"/>
    <col min="7" max="7" width="10.5546875" customWidth="1"/>
    <col min="8" max="8" width="14.6640625" customWidth="1"/>
    <col min="9" max="12" width="6.6640625" customWidth="1"/>
    <col min="13" max="14" width="11.5546875" customWidth="1"/>
  </cols>
  <sheetData>
    <row r="1" spans="1:13" ht="15" customHeight="1" x14ac:dyDescent="0.25">
      <c r="C1" s="68" t="s">
        <v>46</v>
      </c>
      <c r="E1" s="68" t="s">
        <v>46</v>
      </c>
      <c r="F1" s="68" t="s">
        <v>46</v>
      </c>
      <c r="H1" s="1"/>
      <c r="I1" s="2"/>
      <c r="J1" s="2"/>
      <c r="K1" s="2"/>
      <c r="L1" s="2"/>
    </row>
    <row r="2" spans="1:13" ht="15" customHeight="1" x14ac:dyDescent="0.25">
      <c r="H2" s="1"/>
      <c r="I2" s="2"/>
      <c r="J2" s="2"/>
      <c r="K2" s="2"/>
      <c r="L2" s="2"/>
    </row>
    <row r="3" spans="1:13" ht="15" customHeight="1" x14ac:dyDescent="0.25">
      <c r="H3" s="1"/>
      <c r="I3" s="2"/>
      <c r="J3" s="2"/>
      <c r="K3" s="2"/>
      <c r="L3" s="2"/>
    </row>
    <row r="4" spans="1:13" ht="15" customHeight="1" x14ac:dyDescent="0.25">
      <c r="H4" s="1"/>
      <c r="I4" s="2"/>
      <c r="J4" s="2"/>
      <c r="K4" s="2"/>
      <c r="L4" s="2"/>
    </row>
    <row r="5" spans="1:13" ht="15" customHeight="1" x14ac:dyDescent="0.3">
      <c r="A5" s="3"/>
      <c r="H5" s="1"/>
      <c r="I5" s="2"/>
      <c r="J5" s="2"/>
      <c r="K5" s="2"/>
      <c r="L5" s="2"/>
    </row>
    <row r="6" spans="1:13" ht="15" customHeight="1" x14ac:dyDescent="0.3">
      <c r="A6" s="3"/>
      <c r="H6" s="1"/>
      <c r="I6" s="2"/>
      <c r="J6" s="2"/>
      <c r="K6" s="2"/>
      <c r="L6" s="2"/>
    </row>
    <row r="7" spans="1:13" s="7" customFormat="1" ht="13.8" thickBot="1" x14ac:dyDescent="0.3">
      <c r="A7" s="4" t="s">
        <v>0</v>
      </c>
      <c r="B7" s="4"/>
      <c r="C7" s="4"/>
      <c r="D7" s="4"/>
      <c r="E7" s="4"/>
      <c r="F7" s="4"/>
      <c r="G7" s="4"/>
      <c r="H7" s="6"/>
      <c r="I7" s="5"/>
      <c r="J7" s="5"/>
      <c r="K7" s="5"/>
      <c r="L7" s="5"/>
      <c r="M7" s="11" t="s">
        <v>1</v>
      </c>
    </row>
    <row r="8" spans="1:13" s="7" customFormat="1" ht="13.8" thickBot="1" x14ac:dyDescent="0.3">
      <c r="H8" s="19"/>
      <c r="I8" s="20"/>
      <c r="J8" s="20"/>
      <c r="K8" s="20"/>
      <c r="L8" s="20"/>
      <c r="M8" s="21"/>
    </row>
    <row r="9" spans="1:13" s="7" customFormat="1" ht="13.8" thickBot="1" x14ac:dyDescent="0.3">
      <c r="A9" s="13" t="s">
        <v>47</v>
      </c>
      <c r="B9" s="32"/>
      <c r="C9" s="32"/>
      <c r="D9" s="33"/>
      <c r="H9" s="19"/>
      <c r="K9" s="77" t="s">
        <v>48</v>
      </c>
      <c r="L9" s="78"/>
      <c r="M9" s="43"/>
    </row>
    <row r="10" spans="1:13" s="7" customFormat="1" ht="13.8" thickBot="1" x14ac:dyDescent="0.3">
      <c r="A10" s="30" t="s">
        <v>49</v>
      </c>
      <c r="B10" s="67">
        <v>1.5</v>
      </c>
      <c r="C10" s="22"/>
      <c r="D10" s="81">
        <f>VLOOKUP($B$10,Data!$A$9:$B$14,2,FALSE)</f>
        <v>16</v>
      </c>
      <c r="E10" s="82"/>
      <c r="F10" s="12"/>
      <c r="G10" s="100"/>
      <c r="H10" s="100"/>
      <c r="I10" s="100"/>
      <c r="J10" s="101"/>
      <c r="K10" s="134" t="s">
        <v>35</v>
      </c>
      <c r="L10" s="135"/>
      <c r="M10" s="56" t="str">
        <f>IF($B$47&gt;0.5,"FAIL",IF($B$69&gt;=$B$47,"OK","FAIL"))</f>
        <v>OK</v>
      </c>
    </row>
    <row r="11" spans="1:13" s="7" customFormat="1" ht="13.8" thickBot="1" x14ac:dyDescent="0.3">
      <c r="A11" s="16" t="s">
        <v>50</v>
      </c>
      <c r="B11" s="130">
        <v>1000</v>
      </c>
      <c r="C11" s="66"/>
      <c r="E11" s="12"/>
      <c r="F11" s="12"/>
      <c r="G11" s="100"/>
      <c r="H11" s="100"/>
      <c r="I11" s="100"/>
      <c r="J11" s="101"/>
      <c r="K11" s="136" t="s">
        <v>36</v>
      </c>
      <c r="L11" s="137"/>
      <c r="M11" s="55" t="str">
        <f>IF($M$33&lt;=200,"OK","FAIL")</f>
        <v>OK</v>
      </c>
    </row>
    <row r="12" spans="1:13" s="7" customFormat="1" ht="15.6" x14ac:dyDescent="0.25">
      <c r="A12" s="50" t="s">
        <v>52</v>
      </c>
      <c r="D12" s="51" t="str">
        <f>IF(B11&gt;3500,"Error: The Maximum Lenght in the Line is 3500 m","")</f>
        <v/>
      </c>
      <c r="H12" s="19"/>
      <c r="I12" s="20"/>
      <c r="J12" s="20"/>
      <c r="K12" s="20"/>
      <c r="L12" s="21"/>
    </row>
    <row r="13" spans="1:13" s="7" customFormat="1" x14ac:dyDescent="0.25">
      <c r="A13" s="50"/>
      <c r="D13" s="51" t="str">
        <f>IF($B$47&gt;0.5,"Error: The Loop Current is upper that Maximum Current allowed",IF($B$69&lt;$B$47,"Error: The Loop Current is upper that Maximum Current allowed",""))</f>
        <v/>
      </c>
      <c r="H13" s="19"/>
      <c r="I13" s="20"/>
      <c r="J13" s="20"/>
      <c r="K13" s="20"/>
      <c r="L13" s="21"/>
    </row>
    <row r="14" spans="1:13" s="7" customFormat="1" x14ac:dyDescent="0.25">
      <c r="A14" s="50"/>
      <c r="D14" s="51" t="str">
        <f>IF($M$33&gt;250,"Error: The Loop cannot contain more than 200 addresses","")</f>
        <v/>
      </c>
      <c r="H14" s="19"/>
      <c r="I14" s="20"/>
      <c r="J14" s="20"/>
      <c r="K14" s="20"/>
      <c r="L14" s="21"/>
    </row>
    <row r="15" spans="1:13" s="7" customFormat="1" x14ac:dyDescent="0.25">
      <c r="A15" s="50"/>
      <c r="H15" s="19"/>
      <c r="I15" s="20"/>
      <c r="J15" s="20"/>
      <c r="K15" s="20"/>
      <c r="L15" s="21"/>
    </row>
    <row r="16" spans="1:13" ht="13.8" thickBot="1" x14ac:dyDescent="0.3">
      <c r="B16" s="10" t="s">
        <v>53</v>
      </c>
      <c r="C16" s="10" t="s">
        <v>53</v>
      </c>
    </row>
    <row r="17" spans="1:13" ht="13.8" thickBot="1" x14ac:dyDescent="0.3">
      <c r="A17" s="8" t="s">
        <v>54</v>
      </c>
      <c r="B17" s="9"/>
      <c r="C17" s="9"/>
      <c r="D17" s="9"/>
      <c r="E17" s="9"/>
      <c r="F17" s="9"/>
      <c r="G17" s="9"/>
      <c r="H17" s="48"/>
      <c r="I17" s="48"/>
      <c r="J17" s="48"/>
      <c r="K17" s="48"/>
      <c r="L17" s="48"/>
      <c r="M17" s="49"/>
    </row>
    <row r="18" spans="1:13" s="7" customFormat="1" ht="13.8" thickBot="1" x14ac:dyDescent="0.3">
      <c r="A18" s="46" t="s">
        <v>55</v>
      </c>
      <c r="B18" s="47" t="s">
        <v>12</v>
      </c>
      <c r="C18" s="47" t="s">
        <v>7</v>
      </c>
      <c r="D18" s="47" t="s">
        <v>7</v>
      </c>
      <c r="E18" s="47" t="s">
        <v>56</v>
      </c>
      <c r="F18" s="47" t="s">
        <v>8</v>
      </c>
      <c r="G18" s="47" t="s">
        <v>8</v>
      </c>
      <c r="H18" s="47" t="s">
        <v>57</v>
      </c>
      <c r="I18" s="87" t="s">
        <v>58</v>
      </c>
      <c r="J18" s="87" t="s">
        <v>59</v>
      </c>
      <c r="K18" s="87" t="s">
        <v>60</v>
      </c>
      <c r="L18" s="87" t="s">
        <v>61</v>
      </c>
      <c r="M18" s="88" t="s">
        <v>62</v>
      </c>
    </row>
    <row r="19" spans="1:13" x14ac:dyDescent="0.25">
      <c r="A19" s="30" t="s">
        <v>63</v>
      </c>
      <c r="B19" s="98">
        <v>0</v>
      </c>
      <c r="C19" s="64">
        <f>0.3/1000</f>
        <v>2.9999999999999997E-4</v>
      </c>
      <c r="D19" s="72">
        <f>B19*C19</f>
        <v>0</v>
      </c>
      <c r="E19" s="83">
        <f>B19</f>
        <v>0</v>
      </c>
      <c r="F19" s="64">
        <f t="shared" ref="F19:F24" si="0">1/1000</f>
        <v>1E-3</v>
      </c>
      <c r="G19" s="72">
        <f>E19*F19</f>
        <v>0</v>
      </c>
      <c r="H19" s="25"/>
      <c r="I19" s="79"/>
      <c r="J19" s="79"/>
      <c r="K19" s="89" t="str">
        <f>IF(B19&lt;&gt;0,B19," ")</f>
        <v xml:space="preserve"> </v>
      </c>
      <c r="L19" s="79"/>
      <c r="M19" s="90" t="str">
        <f>IF(K19&lt;&gt;0,K19," ")</f>
        <v xml:space="preserve"> </v>
      </c>
    </row>
    <row r="20" spans="1:13" x14ac:dyDescent="0.25">
      <c r="A20" s="30" t="s">
        <v>64</v>
      </c>
      <c r="B20" s="98">
        <v>0</v>
      </c>
      <c r="C20" s="14">
        <v>2.9999999999999997E-4</v>
      </c>
      <c r="D20" s="72">
        <f t="shared" ref="D20:D32" si="1">B20*C20</f>
        <v>0</v>
      </c>
      <c r="E20" s="83">
        <f t="shared" ref="E20:E32" si="2">B20</f>
        <v>0</v>
      </c>
      <c r="F20" s="14">
        <f t="shared" si="0"/>
        <v>1E-3</v>
      </c>
      <c r="G20" s="72">
        <f t="shared" ref="G20:G32" si="3">E20*F20</f>
        <v>0</v>
      </c>
      <c r="H20" s="27"/>
      <c r="I20" s="79"/>
      <c r="J20" s="89" t="str">
        <f>IF(B20&lt;&gt;0,B20," ")</f>
        <v xml:space="preserve"> </v>
      </c>
      <c r="K20" s="91"/>
      <c r="L20" s="91"/>
      <c r="M20" s="90" t="str">
        <f>IF(J20&lt;&gt;0,J20," ")</f>
        <v xml:space="preserve"> </v>
      </c>
    </row>
    <row r="21" spans="1:13" x14ac:dyDescent="0.25">
      <c r="A21" s="15" t="s">
        <v>65</v>
      </c>
      <c r="B21" s="98">
        <v>0</v>
      </c>
      <c r="C21" s="14">
        <v>2.9999999999999997E-4</v>
      </c>
      <c r="D21" s="72">
        <f t="shared" si="1"/>
        <v>0</v>
      </c>
      <c r="E21" s="83">
        <f t="shared" si="2"/>
        <v>0</v>
      </c>
      <c r="F21" s="14">
        <f t="shared" si="0"/>
        <v>1E-3</v>
      </c>
      <c r="G21" s="72">
        <f t="shared" si="3"/>
        <v>0</v>
      </c>
      <c r="H21" s="27"/>
      <c r="I21" s="79"/>
      <c r="J21" s="89" t="str">
        <f>IF(B21&lt;&gt;0,B21," ")</f>
        <v xml:space="preserve"> </v>
      </c>
      <c r="K21" s="91"/>
      <c r="L21" s="91"/>
      <c r="M21" s="90" t="str">
        <f>IF(J21&lt;&gt;0,J21," ")</f>
        <v xml:space="preserve"> </v>
      </c>
    </row>
    <row r="22" spans="1:13" x14ac:dyDescent="0.25">
      <c r="A22" s="15" t="s">
        <v>66</v>
      </c>
      <c r="B22" s="98">
        <v>0</v>
      </c>
      <c r="C22" s="14">
        <v>2.9999999999999997E-4</v>
      </c>
      <c r="D22" s="72">
        <f t="shared" si="1"/>
        <v>0</v>
      </c>
      <c r="E22" s="83">
        <f t="shared" si="2"/>
        <v>0</v>
      </c>
      <c r="F22" s="14">
        <f t="shared" si="0"/>
        <v>1E-3</v>
      </c>
      <c r="G22" s="72">
        <f t="shared" si="3"/>
        <v>0</v>
      </c>
      <c r="H22" s="27"/>
      <c r="I22" s="79"/>
      <c r="J22" s="89" t="str">
        <f>IF(B22&lt;&gt;0,B22," ")</f>
        <v xml:space="preserve"> </v>
      </c>
      <c r="K22" s="91"/>
      <c r="L22" s="91"/>
      <c r="M22" s="90" t="str">
        <f>IF(J22&lt;&gt;0,J22," ")</f>
        <v xml:space="preserve"> </v>
      </c>
    </row>
    <row r="23" spans="1:13" x14ac:dyDescent="0.25">
      <c r="A23" s="15" t="s">
        <v>67</v>
      </c>
      <c r="B23" s="98">
        <v>0</v>
      </c>
      <c r="C23" s="14">
        <f t="shared" ref="C23:C28" si="4">0.25/1000</f>
        <v>2.5000000000000001E-4</v>
      </c>
      <c r="D23" s="72">
        <f t="shared" si="1"/>
        <v>0</v>
      </c>
      <c r="E23" s="83">
        <f t="shared" si="2"/>
        <v>0</v>
      </c>
      <c r="F23" s="14">
        <f t="shared" si="0"/>
        <v>1E-3</v>
      </c>
      <c r="G23" s="72">
        <f t="shared" si="3"/>
        <v>0</v>
      </c>
      <c r="H23" s="27"/>
      <c r="I23" s="79"/>
      <c r="J23" s="91"/>
      <c r="K23" s="89" t="str">
        <f>IF(B23&lt;&gt;0,B23," ")</f>
        <v xml:space="preserve"> </v>
      </c>
      <c r="L23" s="91"/>
      <c r="M23" s="90" t="str">
        <f>IF(K23&lt;&gt;0,K23," ")</f>
        <v xml:space="preserve"> </v>
      </c>
    </row>
    <row r="24" spans="1:13" x14ac:dyDescent="0.25">
      <c r="A24" s="15" t="s">
        <v>68</v>
      </c>
      <c r="B24" s="98">
        <v>0</v>
      </c>
      <c r="C24" s="14">
        <f t="shared" si="4"/>
        <v>2.5000000000000001E-4</v>
      </c>
      <c r="D24" s="72">
        <f t="shared" si="1"/>
        <v>0</v>
      </c>
      <c r="E24" s="83">
        <f t="shared" si="2"/>
        <v>0</v>
      </c>
      <c r="F24" s="14">
        <f t="shared" si="0"/>
        <v>1E-3</v>
      </c>
      <c r="G24" s="72">
        <f t="shared" si="3"/>
        <v>0</v>
      </c>
      <c r="H24" s="27"/>
      <c r="I24" s="79"/>
      <c r="J24" s="91"/>
      <c r="K24" s="89" t="str">
        <f>IF(B24&lt;&gt;0,B24," ")</f>
        <v xml:space="preserve"> </v>
      </c>
      <c r="L24" s="91"/>
      <c r="M24" s="90" t="str">
        <f>IF(K24&lt;&gt;0,K24," ")</f>
        <v xml:space="preserve"> </v>
      </c>
    </row>
    <row r="25" spans="1:13" x14ac:dyDescent="0.25">
      <c r="A25" s="15" t="s">
        <v>69</v>
      </c>
      <c r="B25" s="98">
        <v>0</v>
      </c>
      <c r="C25" s="14">
        <f t="shared" si="4"/>
        <v>2.5000000000000001E-4</v>
      </c>
      <c r="D25" s="72">
        <f t="shared" si="1"/>
        <v>0</v>
      </c>
      <c r="E25" s="83">
        <f t="shared" si="2"/>
        <v>0</v>
      </c>
      <c r="F25" s="14">
        <f>0.25/1000</f>
        <v>2.5000000000000001E-4</v>
      </c>
      <c r="G25" s="72">
        <f t="shared" si="3"/>
        <v>0</v>
      </c>
      <c r="H25" s="27"/>
      <c r="I25" s="79"/>
      <c r="J25" s="91"/>
      <c r="K25" s="89" t="str">
        <f>IF(B25&lt;&gt;0,B25," ")</f>
        <v xml:space="preserve"> </v>
      </c>
      <c r="L25" s="91"/>
      <c r="M25" s="90" t="str">
        <f>IF(K25&lt;&gt;0,K25," ")</f>
        <v xml:space="preserve"> </v>
      </c>
    </row>
    <row r="26" spans="1:13" x14ac:dyDescent="0.25">
      <c r="A26" s="15" t="s">
        <v>70</v>
      </c>
      <c r="B26" s="98">
        <v>0</v>
      </c>
      <c r="C26" s="14">
        <f t="shared" si="4"/>
        <v>2.5000000000000001E-4</v>
      </c>
      <c r="D26" s="72">
        <f t="shared" si="1"/>
        <v>0</v>
      </c>
      <c r="E26" s="83">
        <f t="shared" si="2"/>
        <v>0</v>
      </c>
      <c r="F26" s="14">
        <f>0.25/1000</f>
        <v>2.5000000000000001E-4</v>
      </c>
      <c r="G26" s="72">
        <f t="shared" si="3"/>
        <v>0</v>
      </c>
      <c r="H26" s="73" t="str">
        <f>IF(B26*G26=0," ",G26)</f>
        <v xml:space="preserve"> </v>
      </c>
      <c r="I26" s="79"/>
      <c r="J26" s="91"/>
      <c r="K26" s="91"/>
      <c r="L26" s="89" t="str">
        <f>IF(B26&lt;&gt;0,B26," ")</f>
        <v xml:space="preserve"> </v>
      </c>
      <c r="M26" s="90" t="str">
        <f>IF(L26&lt;&gt;0,L26," ")</f>
        <v xml:space="preserve"> </v>
      </c>
    </row>
    <row r="27" spans="1:13" x14ac:dyDescent="0.25">
      <c r="A27" s="15" t="s">
        <v>71</v>
      </c>
      <c r="B27" s="98">
        <v>0</v>
      </c>
      <c r="C27" s="14">
        <f t="shared" si="4"/>
        <v>2.5000000000000001E-4</v>
      </c>
      <c r="D27" s="72">
        <f t="shared" si="1"/>
        <v>0</v>
      </c>
      <c r="E27" s="83">
        <f t="shared" si="2"/>
        <v>0</v>
      </c>
      <c r="F27" s="14">
        <f>0.25/1000</f>
        <v>2.5000000000000001E-4</v>
      </c>
      <c r="G27" s="72">
        <f t="shared" si="3"/>
        <v>0</v>
      </c>
      <c r="H27" s="73" t="str">
        <f t="shared" ref="H27:H28" si="5">IF(B27*G27=0," ",G27)</f>
        <v xml:space="preserve"> </v>
      </c>
      <c r="I27" s="79"/>
      <c r="J27" s="91"/>
      <c r="K27" s="91"/>
      <c r="L27" s="89" t="str">
        <f>IF(B27&lt;&gt;0,B27," ")</f>
        <v xml:space="preserve"> </v>
      </c>
      <c r="M27" s="90" t="str">
        <f>IF(L27&lt;&gt;0,L27," ")</f>
        <v xml:space="preserve"> </v>
      </c>
    </row>
    <row r="28" spans="1:13" x14ac:dyDescent="0.25">
      <c r="A28" s="15" t="s">
        <v>72</v>
      </c>
      <c r="B28" s="98">
        <v>0</v>
      </c>
      <c r="C28" s="14">
        <f t="shared" si="4"/>
        <v>2.5000000000000001E-4</v>
      </c>
      <c r="D28" s="72">
        <f t="shared" si="1"/>
        <v>0</v>
      </c>
      <c r="E28" s="83">
        <f t="shared" si="2"/>
        <v>0</v>
      </c>
      <c r="F28" s="14">
        <f>10/1000</f>
        <v>0.01</v>
      </c>
      <c r="G28" s="72">
        <f t="shared" si="3"/>
        <v>0</v>
      </c>
      <c r="H28" s="73" t="str">
        <f t="shared" si="5"/>
        <v xml:space="preserve"> </v>
      </c>
      <c r="I28" s="79"/>
      <c r="J28" s="91"/>
      <c r="K28" s="91"/>
      <c r="L28" s="89" t="str">
        <f>IF(B28&lt;&gt;0,B28," ")</f>
        <v xml:space="preserve"> </v>
      </c>
      <c r="M28" s="90" t="str">
        <f>IF(L28&lt;&gt;0,L28," ")</f>
        <v xml:space="preserve"> </v>
      </c>
    </row>
    <row r="29" spans="1:13" x14ac:dyDescent="0.25">
      <c r="A29" s="15" t="s">
        <v>73</v>
      </c>
      <c r="B29" s="98">
        <v>0</v>
      </c>
      <c r="C29" s="14">
        <f>9/1000</f>
        <v>8.9999999999999993E-3</v>
      </c>
      <c r="D29" s="72">
        <f t="shared" si="1"/>
        <v>0</v>
      </c>
      <c r="E29" s="83">
        <f t="shared" si="2"/>
        <v>0</v>
      </c>
      <c r="F29" s="14">
        <f>46/1000</f>
        <v>4.5999999999999999E-2</v>
      </c>
      <c r="G29" s="72">
        <f t="shared" si="3"/>
        <v>0</v>
      </c>
      <c r="H29" s="27"/>
      <c r="I29" s="79"/>
      <c r="J29" s="91"/>
      <c r="K29" s="89" t="str">
        <f>IF(B29&lt;&gt;0,B29," ")</f>
        <v xml:space="preserve"> </v>
      </c>
      <c r="L29" s="91"/>
      <c r="M29" s="90" t="str">
        <f>IF(K29&lt;&gt;0,K29," ")</f>
        <v xml:space="preserve"> </v>
      </c>
    </row>
    <row r="30" spans="1:13" x14ac:dyDescent="0.25">
      <c r="A30" s="15" t="s">
        <v>74</v>
      </c>
      <c r="B30" s="98">
        <v>0</v>
      </c>
      <c r="C30" s="14">
        <f>2/1000</f>
        <v>2E-3</v>
      </c>
      <c r="D30" s="72">
        <f t="shared" si="1"/>
        <v>0</v>
      </c>
      <c r="E30" s="83">
        <f t="shared" si="2"/>
        <v>0</v>
      </c>
      <c r="F30" s="14">
        <f>2/1000</f>
        <v>2E-3</v>
      </c>
      <c r="G30" s="72">
        <f t="shared" si="3"/>
        <v>0</v>
      </c>
      <c r="H30" s="27"/>
      <c r="I30" s="79"/>
      <c r="J30" s="91"/>
      <c r="K30" s="89" t="str">
        <f>IF(B30&lt;&gt;0,B30," ")</f>
        <v xml:space="preserve"> </v>
      </c>
      <c r="L30" s="91"/>
      <c r="M30" s="90" t="str">
        <f>IF(K30&lt;&gt;0,K30," ")</f>
        <v xml:space="preserve"> </v>
      </c>
    </row>
    <row r="31" spans="1:13" x14ac:dyDescent="0.25">
      <c r="A31" s="15" t="s">
        <v>75</v>
      </c>
      <c r="B31" s="98">
        <v>0</v>
      </c>
      <c r="C31" s="14">
        <f>0.25/1000</f>
        <v>2.5000000000000001E-4</v>
      </c>
      <c r="D31" s="72">
        <f t="shared" si="1"/>
        <v>0</v>
      </c>
      <c r="E31" s="83">
        <f t="shared" si="2"/>
        <v>0</v>
      </c>
      <c r="F31" s="14">
        <f>0.25/1000</f>
        <v>2.5000000000000001E-4</v>
      </c>
      <c r="G31" s="72">
        <f t="shared" si="3"/>
        <v>0</v>
      </c>
      <c r="H31" s="27"/>
      <c r="I31" s="89" t="str">
        <f>IF(B30&lt;&gt;0,B30," ")</f>
        <v xml:space="preserve"> </v>
      </c>
      <c r="J31" s="91"/>
      <c r="K31" s="91"/>
      <c r="L31" s="91"/>
      <c r="M31" s="92"/>
    </row>
    <row r="32" spans="1:13" ht="13.8" thickBot="1" x14ac:dyDescent="0.3">
      <c r="A32" s="15" t="s">
        <v>76</v>
      </c>
      <c r="B32" s="98">
        <v>0</v>
      </c>
      <c r="C32" s="14">
        <v>6.2500000000000001E-4</v>
      </c>
      <c r="D32" s="72">
        <f t="shared" si="1"/>
        <v>0</v>
      </c>
      <c r="E32" s="83">
        <f t="shared" si="2"/>
        <v>0</v>
      </c>
      <c r="F32" s="65">
        <f>8/1000</f>
        <v>8.0000000000000002E-3</v>
      </c>
      <c r="G32" s="72">
        <f t="shared" si="3"/>
        <v>0</v>
      </c>
      <c r="H32" s="24"/>
      <c r="I32" s="79"/>
      <c r="J32" s="93"/>
      <c r="K32" s="93"/>
      <c r="L32" s="94"/>
      <c r="M32" s="95"/>
    </row>
    <row r="33" spans="1:13" s="7" customFormat="1" ht="13.8" thickBot="1" x14ac:dyDescent="0.3">
      <c r="A33" s="13" t="s">
        <v>77</v>
      </c>
      <c r="B33" s="96">
        <f>SUM(B19:B32)</f>
        <v>0</v>
      </c>
      <c r="C33" s="70"/>
      <c r="D33" s="69">
        <f>SUM(D19:D32)</f>
        <v>0</v>
      </c>
      <c r="E33" s="69">
        <f>SUM(E19:E31)</f>
        <v>0</v>
      </c>
      <c r="F33" s="69"/>
      <c r="G33" s="69">
        <f t="shared" ref="G33:M33" si="6">SUM(G19:G32)</f>
        <v>0</v>
      </c>
      <c r="H33" s="69">
        <f t="shared" si="6"/>
        <v>0</v>
      </c>
      <c r="I33" s="96">
        <f>SUM(I19:I32)</f>
        <v>0</v>
      </c>
      <c r="J33" s="96">
        <f t="shared" si="6"/>
        <v>0</v>
      </c>
      <c r="K33" s="96">
        <f t="shared" si="6"/>
        <v>0</v>
      </c>
      <c r="L33" s="96">
        <f t="shared" si="6"/>
        <v>0</v>
      </c>
      <c r="M33" s="97">
        <f t="shared" si="6"/>
        <v>0</v>
      </c>
    </row>
    <row r="34" spans="1:13" s="7" customFormat="1" x14ac:dyDescent="0.25">
      <c r="B34" s="34"/>
      <c r="C34" s="35"/>
      <c r="D34" s="51" t="str">
        <f>IF(M33&gt;200,"Error: The Loop cannot contain more than 200 addresses","")</f>
        <v/>
      </c>
      <c r="E34" s="37"/>
      <c r="F34" s="36"/>
      <c r="G34" s="36"/>
      <c r="H34" s="36"/>
      <c r="I34" s="36"/>
      <c r="J34" s="36"/>
      <c r="K34" s="34"/>
      <c r="L34" s="34"/>
    </row>
    <row r="35" spans="1:13" s="7" customFormat="1" x14ac:dyDescent="0.25">
      <c r="A35" s="50"/>
      <c r="D35" s="51" t="str">
        <f>IF(B28&gt;30,"Error: The Loop cannot contain more than 30 Loop Sounders in 1.000 meters","")</f>
        <v/>
      </c>
      <c r="H35" s="19"/>
      <c r="I35" s="20"/>
      <c r="J35" s="20"/>
      <c r="K35" s="20"/>
      <c r="L35" s="21"/>
    </row>
    <row r="36" spans="1:13" s="7" customFormat="1" x14ac:dyDescent="0.25">
      <c r="A36" s="50"/>
      <c r="D36" s="51" t="str">
        <f>IF(AND(B11&gt;1000,B28&gt;19),"Error: The Loop cannot contain more than 19 Loop Sounders in 2.000 meters","")</f>
        <v/>
      </c>
      <c r="H36" s="19"/>
      <c r="I36" s="20"/>
      <c r="J36" s="20"/>
      <c r="K36" s="20"/>
      <c r="L36" s="21"/>
    </row>
    <row r="37" spans="1:13" s="7" customFormat="1" x14ac:dyDescent="0.25">
      <c r="A37" s="50"/>
      <c r="D37" s="51" t="str">
        <f>IF(AND(B29&gt;6),"Error: The Loop cannot contain more than 6 Zone Modules Powered from the Loop","")</f>
        <v/>
      </c>
      <c r="H37" s="19"/>
      <c r="I37" s="20"/>
      <c r="J37" s="20"/>
      <c r="K37" s="20"/>
      <c r="L37" s="21"/>
    </row>
    <row r="38" spans="1:13" s="7" customFormat="1" x14ac:dyDescent="0.25">
      <c r="B38" s="34"/>
      <c r="C38" s="35"/>
      <c r="D38" s="71" t="str">
        <f>IF(OR(B25&gt;0,B27&gt;0,B30&gt;0),"Info: External 24V needed. EN 54-4 certificate."," ")</f>
        <v xml:space="preserve"> </v>
      </c>
      <c r="E38" s="37"/>
      <c r="F38" s="36"/>
      <c r="G38" s="36"/>
      <c r="H38" s="36"/>
      <c r="I38" s="36"/>
      <c r="J38" s="36"/>
      <c r="K38" s="34"/>
      <c r="L38" s="34"/>
    </row>
    <row r="39" spans="1:13" s="7" customFormat="1" x14ac:dyDescent="0.25">
      <c r="B39" s="34"/>
      <c r="C39" s="35"/>
      <c r="D39" s="71" t="str">
        <f>IF(OR(B25&gt;0,B27&gt;0,B30&gt;0),"        Control Panel could provide from 24Vaux,"," ")</f>
        <v xml:space="preserve"> </v>
      </c>
      <c r="E39" s="37"/>
      <c r="F39" s="36"/>
      <c r="G39" s="36"/>
      <c r="H39" s="36"/>
      <c r="I39" s="36"/>
      <c r="J39" s="36"/>
      <c r="K39" s="34"/>
      <c r="L39" s="34"/>
    </row>
    <row r="40" spans="1:13" s="7" customFormat="1" x14ac:dyDescent="0.25">
      <c r="B40" s="34"/>
      <c r="C40" s="35"/>
      <c r="D40" s="71" t="str">
        <f>IF(OR(B25&gt;0,B27&gt;0,B30&gt;0),"         if 2A maximum current isn't exceeded."," ")</f>
        <v xml:space="preserve"> </v>
      </c>
      <c r="E40" s="37"/>
      <c r="F40" s="36"/>
      <c r="G40" s="36"/>
      <c r="H40" s="36"/>
      <c r="I40" s="36"/>
      <c r="J40" s="36"/>
      <c r="K40" s="34"/>
      <c r="L40" s="34"/>
    </row>
    <row r="41" spans="1:13" ht="14.4" customHeight="1" thickBot="1" x14ac:dyDescent="0.3">
      <c r="E41" s="17"/>
      <c r="K41" s="51"/>
    </row>
    <row r="42" spans="1:13" ht="14.4" customHeight="1" thickBot="1" x14ac:dyDescent="0.3">
      <c r="A42" s="13" t="s">
        <v>78</v>
      </c>
      <c r="B42" s="41"/>
      <c r="C42" s="41"/>
      <c r="D42" s="42"/>
      <c r="E42" s="17"/>
    </row>
    <row r="43" spans="1:13" ht="14.4" customHeight="1" x14ac:dyDescent="0.25">
      <c r="A43" s="30" t="s">
        <v>79</v>
      </c>
      <c r="B43" s="45">
        <v>1.72E-2</v>
      </c>
      <c r="C43" s="25"/>
      <c r="D43" s="31" t="s">
        <v>80</v>
      </c>
      <c r="E43" s="17"/>
    </row>
    <row r="44" spans="1:13" ht="14.4" customHeight="1" x14ac:dyDescent="0.25">
      <c r="A44" s="15" t="s">
        <v>81</v>
      </c>
      <c r="B44" s="74">
        <f>D33</f>
        <v>0</v>
      </c>
      <c r="C44" s="27"/>
      <c r="D44" s="29" t="s">
        <v>82</v>
      </c>
      <c r="E44" s="17"/>
    </row>
    <row r="45" spans="1:13" ht="14.4" customHeight="1" x14ac:dyDescent="0.25">
      <c r="A45" s="15" t="s">
        <v>83</v>
      </c>
      <c r="B45" s="74">
        <f>G33-H33</f>
        <v>0</v>
      </c>
      <c r="C45" s="27"/>
      <c r="D45" s="29" t="s">
        <v>82</v>
      </c>
      <c r="E45" s="17"/>
    </row>
    <row r="46" spans="1:13" ht="14.4" customHeight="1" x14ac:dyDescent="0.25">
      <c r="A46" s="15" t="s">
        <v>84</v>
      </c>
      <c r="B46" s="74">
        <f>H33</f>
        <v>0</v>
      </c>
      <c r="C46" s="27"/>
      <c r="D46" s="29" t="s">
        <v>82</v>
      </c>
      <c r="E46" s="17"/>
    </row>
    <row r="47" spans="1:13" ht="14.4" customHeight="1" x14ac:dyDescent="0.25">
      <c r="A47" s="15" t="s">
        <v>21</v>
      </c>
      <c r="B47" s="74">
        <f>SUM(B44:B46)</f>
        <v>0</v>
      </c>
      <c r="C47" s="27"/>
      <c r="D47" s="29" t="s">
        <v>82</v>
      </c>
      <c r="E47" s="17"/>
    </row>
    <row r="48" spans="1:13" ht="14.4" customHeight="1" thickBot="1" x14ac:dyDescent="0.3">
      <c r="A48" s="16" t="s">
        <v>85</v>
      </c>
      <c r="B48" s="39">
        <v>6.9</v>
      </c>
      <c r="C48" s="39"/>
      <c r="D48" s="18" t="s">
        <v>86</v>
      </c>
      <c r="E48" s="17"/>
    </row>
    <row r="49" spans="1:12" ht="14.4" customHeight="1" thickBot="1" x14ac:dyDescent="0.3">
      <c r="A49" s="12"/>
      <c r="E49" s="17"/>
    </row>
    <row r="50" spans="1:12" ht="14.4" customHeight="1" thickBot="1" x14ac:dyDescent="0.3">
      <c r="A50" s="8" t="s">
        <v>87</v>
      </c>
      <c r="B50" s="48"/>
      <c r="C50" s="48"/>
      <c r="D50" s="48"/>
      <c r="E50" s="84"/>
      <c r="F50" s="48"/>
      <c r="G50" s="48"/>
      <c r="H50" s="48"/>
      <c r="I50" s="48"/>
      <c r="J50" s="48"/>
      <c r="K50" s="49"/>
      <c r="L50" s="52"/>
    </row>
    <row r="51" spans="1:12" ht="14.4" customHeight="1" x14ac:dyDescent="0.25">
      <c r="A51" s="62" t="s">
        <v>88</v>
      </c>
      <c r="B51" s="79">
        <v>1000</v>
      </c>
      <c r="C51" s="79"/>
      <c r="D51" s="79">
        <v>1500</v>
      </c>
      <c r="E51" s="85"/>
      <c r="F51" s="79"/>
      <c r="G51" s="79">
        <v>2000</v>
      </c>
      <c r="H51" s="79">
        <v>2500</v>
      </c>
      <c r="I51" s="79">
        <v>3000</v>
      </c>
      <c r="J51" s="80">
        <v>3500</v>
      </c>
      <c r="K51" s="53" t="s">
        <v>89</v>
      </c>
    </row>
    <row r="52" spans="1:12" ht="14.4" customHeight="1" x14ac:dyDescent="0.25">
      <c r="A52" s="26" t="s">
        <v>90</v>
      </c>
      <c r="B52" s="75">
        <f>((($B$43*B51)/B54)*2)</f>
        <v>68.8</v>
      </c>
      <c r="C52" s="75">
        <f t="shared" ref="C52:J52" si="7">((($B$43*C51)/C54)*2)</f>
        <v>0</v>
      </c>
      <c r="D52" s="75">
        <f t="shared" si="7"/>
        <v>103.2</v>
      </c>
      <c r="E52" s="75">
        <f t="shared" si="7"/>
        <v>0</v>
      </c>
      <c r="F52" s="75">
        <f t="shared" si="7"/>
        <v>0</v>
      </c>
      <c r="G52" s="75">
        <f t="shared" si="7"/>
        <v>137.6</v>
      </c>
      <c r="H52" s="75">
        <f t="shared" si="7"/>
        <v>172</v>
      </c>
      <c r="I52" s="75">
        <f t="shared" si="7"/>
        <v>206.4</v>
      </c>
      <c r="J52" s="75">
        <f t="shared" si="7"/>
        <v>240.8</v>
      </c>
      <c r="K52" s="54" t="s">
        <v>91</v>
      </c>
    </row>
    <row r="53" spans="1:12" ht="14.4" customHeight="1" thickBot="1" x14ac:dyDescent="0.3">
      <c r="A53" s="61" t="s">
        <v>92</v>
      </c>
      <c r="B53" s="75">
        <f>B52/2</f>
        <v>34.4</v>
      </c>
      <c r="C53" s="75">
        <f t="shared" ref="C53:J53" si="8">C52/2</f>
        <v>0</v>
      </c>
      <c r="D53" s="75">
        <f t="shared" si="8"/>
        <v>51.6</v>
      </c>
      <c r="E53" s="75">
        <f t="shared" si="8"/>
        <v>0</v>
      </c>
      <c r="F53" s="75">
        <f t="shared" si="8"/>
        <v>0</v>
      </c>
      <c r="G53" s="75">
        <f t="shared" si="8"/>
        <v>68.8</v>
      </c>
      <c r="H53" s="75">
        <f t="shared" si="8"/>
        <v>86</v>
      </c>
      <c r="I53" s="75">
        <f t="shared" si="8"/>
        <v>103.2</v>
      </c>
      <c r="J53" s="75">
        <f t="shared" si="8"/>
        <v>120.4</v>
      </c>
      <c r="K53" s="60" t="s">
        <v>91</v>
      </c>
    </row>
    <row r="54" spans="1:12" ht="14.4" customHeight="1" thickBot="1" x14ac:dyDescent="0.3">
      <c r="A54" s="13" t="s">
        <v>93</v>
      </c>
      <c r="B54" s="63">
        <f>IF(IFERROR((($B$43*B$51)/(($B$48)/$B$47)),0)&lt;0.5,0.5,IFERROR((($B$43*B$51)/(($B$48)/$B$47)),0))</f>
        <v>0.5</v>
      </c>
      <c r="C54" s="63">
        <f t="shared" ref="C54:J54" si="9">IF(IFERROR((($B$43*C$51)/(($B$48)/$B$47)),0)&lt;0.5,0.5,IFERROR((($B$43*C$51)/(($B$48)/$B$47)),0))</f>
        <v>0.5</v>
      </c>
      <c r="D54" s="63">
        <f t="shared" si="9"/>
        <v>0.5</v>
      </c>
      <c r="E54" s="63">
        <f t="shared" si="9"/>
        <v>0.5</v>
      </c>
      <c r="F54" s="63">
        <f t="shared" si="9"/>
        <v>0.5</v>
      </c>
      <c r="G54" s="63">
        <f t="shared" si="9"/>
        <v>0.5</v>
      </c>
      <c r="H54" s="63">
        <f t="shared" si="9"/>
        <v>0.5</v>
      </c>
      <c r="I54" s="63">
        <f t="shared" si="9"/>
        <v>0.5</v>
      </c>
      <c r="J54" s="63">
        <f t="shared" si="9"/>
        <v>0.5</v>
      </c>
      <c r="K54" s="28" t="s">
        <v>94</v>
      </c>
    </row>
    <row r="55" spans="1:12" ht="14.4" customHeight="1" x14ac:dyDescent="0.25">
      <c r="A55" s="12"/>
      <c r="B55" s="52" t="s">
        <v>95</v>
      </c>
      <c r="D55" s="52"/>
      <c r="E55" s="17"/>
    </row>
    <row r="56" spans="1:12" ht="14.4" customHeight="1" thickBot="1" x14ac:dyDescent="0.3">
      <c r="A56" s="12"/>
      <c r="E56" s="17"/>
    </row>
    <row r="57" spans="1:12" ht="14.4" customHeight="1" thickBot="1" x14ac:dyDescent="0.3">
      <c r="A57" s="8" t="s">
        <v>96</v>
      </c>
      <c r="B57" s="48"/>
      <c r="C57" s="48"/>
      <c r="D57" s="48"/>
      <c r="E57" s="84"/>
      <c r="F57" s="48"/>
      <c r="G57" s="48"/>
      <c r="H57" s="48"/>
      <c r="I57" s="48"/>
      <c r="J57" s="48"/>
      <c r="K57" s="49"/>
      <c r="L57" s="52"/>
    </row>
    <row r="58" spans="1:12" ht="14.4" customHeight="1" x14ac:dyDescent="0.25">
      <c r="A58" s="53" t="s">
        <v>97</v>
      </c>
      <c r="B58" s="23">
        <v>0.5</v>
      </c>
      <c r="C58" s="25"/>
      <c r="D58" s="25">
        <v>0.75</v>
      </c>
      <c r="E58" s="86"/>
      <c r="F58" s="25"/>
      <c r="G58" s="25">
        <v>1</v>
      </c>
      <c r="H58" s="25">
        <v>1.5</v>
      </c>
      <c r="I58" s="25">
        <v>2.5</v>
      </c>
      <c r="J58" s="58">
        <v>4</v>
      </c>
      <c r="K58" s="53" t="s">
        <v>98</v>
      </c>
    </row>
    <row r="59" spans="1:12" ht="14.4" customHeight="1" x14ac:dyDescent="0.25">
      <c r="A59" s="57" t="s">
        <v>90</v>
      </c>
      <c r="B59" s="75">
        <f t="shared" ref="B59:J59" si="10">$B$43*B61/B58*2</f>
        <v>240.8</v>
      </c>
      <c r="C59" s="75" t="e">
        <f t="shared" si="10"/>
        <v>#DIV/0!</v>
      </c>
      <c r="D59" s="75">
        <f t="shared" si="10"/>
        <v>160.53333333333333</v>
      </c>
      <c r="E59" s="75" t="e">
        <f t="shared" si="10"/>
        <v>#DIV/0!</v>
      </c>
      <c r="F59" s="75" t="e">
        <f t="shared" si="10"/>
        <v>#DIV/0!</v>
      </c>
      <c r="G59" s="75">
        <f t="shared" si="10"/>
        <v>120.4</v>
      </c>
      <c r="H59" s="75">
        <f t="shared" si="10"/>
        <v>80.266666666666666</v>
      </c>
      <c r="I59" s="75">
        <f t="shared" si="10"/>
        <v>48.160000000000004</v>
      </c>
      <c r="J59" s="75">
        <f t="shared" si="10"/>
        <v>30.1</v>
      </c>
      <c r="K59" s="54" t="s">
        <v>91</v>
      </c>
    </row>
    <row r="60" spans="1:12" ht="14.4" customHeight="1" thickBot="1" x14ac:dyDescent="0.3">
      <c r="A60" s="59" t="s">
        <v>92</v>
      </c>
      <c r="B60" s="75">
        <f>B59/2</f>
        <v>120.4</v>
      </c>
      <c r="C60" s="75" t="e">
        <f t="shared" ref="C60:J60" si="11">C59/2</f>
        <v>#DIV/0!</v>
      </c>
      <c r="D60" s="75">
        <f t="shared" si="11"/>
        <v>80.266666666666666</v>
      </c>
      <c r="E60" s="75" t="e">
        <f t="shared" si="11"/>
        <v>#DIV/0!</v>
      </c>
      <c r="F60" s="75" t="e">
        <f t="shared" si="11"/>
        <v>#DIV/0!</v>
      </c>
      <c r="G60" s="75">
        <f t="shared" si="11"/>
        <v>60.2</v>
      </c>
      <c r="H60" s="75">
        <f t="shared" si="11"/>
        <v>40.133333333333333</v>
      </c>
      <c r="I60" s="75">
        <f t="shared" si="11"/>
        <v>24.080000000000002</v>
      </c>
      <c r="J60" s="75">
        <f t="shared" si="11"/>
        <v>15.05</v>
      </c>
      <c r="K60" s="60" t="s">
        <v>91</v>
      </c>
    </row>
    <row r="61" spans="1:12" ht="14.4" customHeight="1" thickBot="1" x14ac:dyDescent="0.3">
      <c r="A61" s="28" t="s">
        <v>99</v>
      </c>
      <c r="B61" s="63">
        <f>IF(IFERROR((((($B$48)/$B$47)*B$58)/$B$43),9999)&gt;3500,3500,IFERROR((((($B$48)/$B$47)*B$58)/$B$43),9999))</f>
        <v>3500</v>
      </c>
      <c r="C61" s="63">
        <f t="shared" ref="C61:J61" si="12">IF(IFERROR((((($B$48)/$B$47)*C$58)/$B$43),9999)&gt;3500,3500,IFERROR((((($B$48)/$B$47)*C$58)/$B$43),9999))</f>
        <v>3500</v>
      </c>
      <c r="D61" s="63">
        <f t="shared" si="12"/>
        <v>3500</v>
      </c>
      <c r="E61" s="63">
        <f t="shared" si="12"/>
        <v>3500</v>
      </c>
      <c r="F61" s="63">
        <f t="shared" si="12"/>
        <v>3500</v>
      </c>
      <c r="G61" s="63">
        <f t="shared" si="12"/>
        <v>3500</v>
      </c>
      <c r="H61" s="63">
        <f t="shared" si="12"/>
        <v>3500</v>
      </c>
      <c r="I61" s="63">
        <f t="shared" si="12"/>
        <v>3500</v>
      </c>
      <c r="J61" s="63">
        <f t="shared" si="12"/>
        <v>3500</v>
      </c>
      <c r="K61" s="28" t="s">
        <v>89</v>
      </c>
    </row>
    <row r="62" spans="1:12" ht="14.4" customHeight="1" x14ac:dyDescent="0.25">
      <c r="A62" s="12"/>
      <c r="B62" s="52" t="s">
        <v>100</v>
      </c>
      <c r="D62" s="52"/>
      <c r="E62" s="17"/>
    </row>
    <row r="63" spans="1:12" ht="14.4" customHeight="1" thickBot="1" x14ac:dyDescent="0.3">
      <c r="A63" s="12"/>
      <c r="E63" s="17"/>
    </row>
    <row r="64" spans="1:12" ht="14.4" customHeight="1" thickBot="1" x14ac:dyDescent="0.3">
      <c r="A64" s="8" t="s">
        <v>101</v>
      </c>
      <c r="B64" s="48"/>
      <c r="C64" s="48"/>
      <c r="D64" s="49"/>
      <c r="E64" s="17"/>
    </row>
    <row r="65" spans="1:12" ht="14.4" customHeight="1" x14ac:dyDescent="0.25">
      <c r="A65" s="30" t="s">
        <v>102</v>
      </c>
      <c r="B65" s="76">
        <f>$B$10</f>
        <v>1.5</v>
      </c>
      <c r="C65" s="25"/>
      <c r="D65" s="31" t="s">
        <v>98</v>
      </c>
      <c r="E65" s="17"/>
      <c r="H65" s="51" t="str">
        <f>IF(B65&lt;0.5,"Error: The Minimum Cable Seccion in the Loop is 0,5 mm2","")</f>
        <v/>
      </c>
    </row>
    <row r="66" spans="1:12" ht="14.4" customHeight="1" x14ac:dyDescent="0.25">
      <c r="A66" s="15" t="s">
        <v>103</v>
      </c>
      <c r="B66" s="89">
        <f>$B$11</f>
        <v>1000</v>
      </c>
      <c r="C66" s="27"/>
      <c r="D66" s="29" t="s">
        <v>51</v>
      </c>
      <c r="E66" s="17"/>
      <c r="H66" s="51" t="str">
        <f>IF(B66&gt;3500,"Error: The Maximum Lenght in the Line is 3500 meters","")</f>
        <v/>
      </c>
    </row>
    <row r="67" spans="1:12" ht="14.4" customHeight="1" x14ac:dyDescent="0.25">
      <c r="A67" s="15" t="s">
        <v>104</v>
      </c>
      <c r="B67" s="89">
        <f>((($B$43*B66)/B65)*2)</f>
        <v>22.933333333333334</v>
      </c>
      <c r="C67" s="27"/>
      <c r="D67" s="38" t="s">
        <v>91</v>
      </c>
      <c r="E67" s="17"/>
    </row>
    <row r="68" spans="1:12" ht="14.4" customHeight="1" thickBot="1" x14ac:dyDescent="0.3">
      <c r="A68" s="16" t="s">
        <v>105</v>
      </c>
      <c r="B68" s="99">
        <f>B67/2</f>
        <v>11.466666666666667</v>
      </c>
      <c r="C68" s="39"/>
      <c r="D68" s="40" t="s">
        <v>91</v>
      </c>
      <c r="E68" s="17"/>
    </row>
    <row r="69" spans="1:12" ht="14.4" customHeight="1" x14ac:dyDescent="0.25">
      <c r="A69" s="105" t="s">
        <v>106</v>
      </c>
      <c r="B69" s="106">
        <f>$B$48/$B$68</f>
        <v>0.6017441860465117</v>
      </c>
      <c r="C69" s="107"/>
      <c r="D69" s="106" t="s">
        <v>82</v>
      </c>
      <c r="E69" s="17"/>
    </row>
    <row r="70" spans="1:12" ht="14.4" customHeight="1" thickBot="1" x14ac:dyDescent="0.3">
      <c r="A70" s="102"/>
      <c r="B70" s="103"/>
      <c r="C70" s="104"/>
      <c r="D70" s="103"/>
      <c r="E70" s="17"/>
    </row>
    <row r="71" spans="1:12" ht="14.4" customHeight="1" thickBot="1" x14ac:dyDescent="0.3">
      <c r="A71" s="8" t="s">
        <v>48</v>
      </c>
      <c r="B71" s="48"/>
      <c r="C71" s="48"/>
      <c r="D71" s="49"/>
      <c r="E71" s="17"/>
    </row>
    <row r="72" spans="1:12" ht="14.4" customHeight="1" thickBot="1" x14ac:dyDescent="0.3">
      <c r="A72" s="8" t="s">
        <v>35</v>
      </c>
      <c r="B72" s="49"/>
      <c r="D72" s="56" t="str">
        <f>IF($B$47&gt;0.5,"FAIL",IF($B$69&gt;=$B$47,"OK","FAIL"))</f>
        <v>OK</v>
      </c>
      <c r="E72" s="17"/>
      <c r="G72" s="51"/>
      <c r="H72" s="51"/>
    </row>
    <row r="73" spans="1:12" ht="14.4" customHeight="1" thickBot="1" x14ac:dyDescent="0.3">
      <c r="A73" s="8" t="s">
        <v>36</v>
      </c>
      <c r="B73" s="49"/>
      <c r="C73" s="44"/>
      <c r="D73" s="55" t="str">
        <f>IF($M$33&lt;=200,"OK","FAIL")</f>
        <v>OK</v>
      </c>
      <c r="E73" s="17"/>
      <c r="G73" s="51"/>
      <c r="H73" s="51"/>
    </row>
    <row r="74" spans="1:12" ht="14.4" customHeight="1" x14ac:dyDescent="0.25">
      <c r="A74" s="12"/>
      <c r="D74" s="51" t="str">
        <f>IF($B$47&gt;0.5,"Error: The Loop Current is upper that Maximum Current allowed",IF($B$69&lt;$B$47,"Error: The Loop Current is upper that Maximum Current allowed",""))</f>
        <v/>
      </c>
      <c r="E74" s="17"/>
    </row>
    <row r="75" spans="1:12" ht="14.4" customHeight="1" x14ac:dyDescent="0.25">
      <c r="A75" s="12"/>
      <c r="D75" s="51" t="str">
        <f>IF($M$33&gt;200,"Error: The Loop cannot contain more than 200 addresses","")</f>
        <v/>
      </c>
      <c r="E75" s="17"/>
    </row>
    <row r="77" spans="1:12" ht="27" customHeight="1" x14ac:dyDescent="0.25">
      <c r="A77" s="133" t="s">
        <v>45</v>
      </c>
      <c r="B77" s="133"/>
      <c r="C77" s="133"/>
      <c r="D77" s="133"/>
      <c r="E77" s="133"/>
      <c r="F77" s="133"/>
      <c r="G77" s="133"/>
      <c r="H77" s="133"/>
      <c r="I77" s="133"/>
      <c r="J77" s="133"/>
      <c r="K77" s="133"/>
      <c r="L77" s="133"/>
    </row>
  </sheetData>
  <sheetProtection sheet="1" sort="0" autoFilter="0" pivotTables="0"/>
  <mergeCells count="3">
    <mergeCell ref="K10:L10"/>
    <mergeCell ref="K11:L11"/>
    <mergeCell ref="A77:L77"/>
  </mergeCells>
  <conditionalFormatting sqref="B11">
    <cfRule type="cellIs" dxfId="35" priority="1" operator="greaterThan">
      <formula>3500</formula>
    </cfRule>
  </conditionalFormatting>
  <conditionalFormatting sqref="B19:B32">
    <cfRule type="cellIs" dxfId="34" priority="11" operator="greaterThan">
      <formula>200</formula>
    </cfRule>
  </conditionalFormatting>
  <conditionalFormatting sqref="B28">
    <cfRule type="cellIs" dxfId="33" priority="2" operator="greaterThan">
      <formula>30</formula>
    </cfRule>
  </conditionalFormatting>
  <conditionalFormatting sqref="B44:B47">
    <cfRule type="cellIs" dxfId="32" priority="7" operator="greaterThan">
      <formula>0.5</formula>
    </cfRule>
  </conditionalFormatting>
  <conditionalFormatting sqref="B54">
    <cfRule type="containsErrors" dxfId="31" priority="24">
      <formula>ISERROR(B54)</formula>
    </cfRule>
  </conditionalFormatting>
  <conditionalFormatting sqref="B61">
    <cfRule type="containsErrors" dxfId="30" priority="15">
      <formula>ISERROR(B61)</formula>
    </cfRule>
  </conditionalFormatting>
  <conditionalFormatting sqref="B52:J53">
    <cfRule type="containsErrors" dxfId="29" priority="18">
      <formula>ISERROR(B52)</formula>
    </cfRule>
  </conditionalFormatting>
  <conditionalFormatting sqref="B59:J60">
    <cfRule type="containsErrors" dxfId="28" priority="17">
      <formula>ISERROR(B59)</formula>
    </cfRule>
  </conditionalFormatting>
  <conditionalFormatting sqref="D38:D40">
    <cfRule type="expression" dxfId="27" priority="9" stopIfTrue="1">
      <formula>#REF!&gt;2</formula>
    </cfRule>
    <cfRule type="expression" dxfId="26" priority="10" stopIfTrue="1">
      <formula>#REF!&lt;3</formula>
    </cfRule>
  </conditionalFormatting>
  <conditionalFormatting sqref="D72:D73">
    <cfRule type="cellIs" dxfId="25" priority="21" stopIfTrue="1" operator="equal">
      <formula>"FAIL"</formula>
    </cfRule>
  </conditionalFormatting>
  <conditionalFormatting sqref="D33:H33">
    <cfRule type="cellIs" dxfId="24" priority="6" operator="greaterThan">
      <formula>0.5</formula>
    </cfRule>
  </conditionalFormatting>
  <conditionalFormatting sqref="D54:J54">
    <cfRule type="containsErrors" dxfId="23" priority="16">
      <formula>ISERROR(D54)</formula>
    </cfRule>
  </conditionalFormatting>
  <conditionalFormatting sqref="D61:J61">
    <cfRule type="containsErrors" dxfId="22" priority="14">
      <formula>ISERROR(D61)</formula>
    </cfRule>
  </conditionalFormatting>
  <conditionalFormatting sqref="I31">
    <cfRule type="cellIs" dxfId="21" priority="3" operator="equal">
      <formula>0</formula>
    </cfRule>
  </conditionalFormatting>
  <conditionalFormatting sqref="I33:M33">
    <cfRule type="cellIs" dxfId="20" priority="5" operator="greaterThan">
      <formula>200</formula>
    </cfRule>
  </conditionalFormatting>
  <conditionalFormatting sqref="K19:K32">
    <cfRule type="cellIs" dxfId="19" priority="13" operator="equal">
      <formula>0</formula>
    </cfRule>
  </conditionalFormatting>
  <conditionalFormatting sqref="M10:M11">
    <cfRule type="cellIs" dxfId="18" priority="19" stopIfTrue="1" operator="equal">
      <formula>"FAIL"</formula>
    </cfRule>
  </conditionalFormatting>
  <pageMargins left="0.78740157480314965" right="0.39370078740157483" top="0.39370078740157483" bottom="0.39370078740157483" header="0" footer="0"/>
  <pageSetup paperSize="9" scale="60" orientation="portrait" horizontalDpi="1200" verticalDpi="1200" r:id="rId1"/>
  <headerFooter alignWithMargins="0">
    <oddHeader>&amp;L&amp;F&amp;R&amp;A</oddHeader>
    <oddFooter>&amp;L&amp;P / &amp;N&amp;R&amp;D &amp;T</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5CC1B3E8-35DF-4403-98C7-9741A45908B1}">
          <x14:formula1>
            <xm:f>Data!$A$9:$A$14</xm:f>
          </x14:formula1>
          <xm:sqref>B10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DB1CC-2852-46BC-8350-44460A576670}">
  <sheetPr>
    <pageSetUpPr fitToPage="1"/>
  </sheetPr>
  <dimension ref="A1:M77"/>
  <sheetViews>
    <sheetView zoomScale="130" zoomScaleNormal="130" workbookViewId="0"/>
  </sheetViews>
  <sheetFormatPr defaultColWidth="11.44140625" defaultRowHeight="13.2" x14ac:dyDescent="0.25"/>
  <cols>
    <col min="1" max="1" width="64.6640625" customWidth="1"/>
    <col min="2" max="2" width="10.6640625" customWidth="1"/>
    <col min="3" max="3" width="12.6640625" hidden="1" customWidth="1"/>
    <col min="4" max="4" width="12.6640625" customWidth="1"/>
    <col min="5" max="6" width="12.6640625" hidden="1" customWidth="1"/>
    <col min="7" max="7" width="10.5546875" customWidth="1"/>
    <col min="8" max="8" width="14.6640625" customWidth="1"/>
    <col min="9" max="12" width="6.6640625" customWidth="1"/>
    <col min="13" max="14" width="11.5546875" customWidth="1"/>
  </cols>
  <sheetData>
    <row r="1" spans="1:13" ht="15" customHeight="1" x14ac:dyDescent="0.25">
      <c r="C1" s="68" t="s">
        <v>46</v>
      </c>
      <c r="E1" s="68" t="s">
        <v>46</v>
      </c>
      <c r="F1" s="68" t="s">
        <v>46</v>
      </c>
      <c r="H1" s="1"/>
      <c r="I1" s="2"/>
      <c r="J1" s="2"/>
      <c r="K1" s="2"/>
      <c r="L1" s="2"/>
    </row>
    <row r="2" spans="1:13" ht="15" customHeight="1" x14ac:dyDescent="0.25">
      <c r="H2" s="1"/>
      <c r="I2" s="2"/>
      <c r="J2" s="2"/>
      <c r="K2" s="2"/>
      <c r="L2" s="2"/>
    </row>
    <row r="3" spans="1:13" ht="15" customHeight="1" x14ac:dyDescent="0.25">
      <c r="H3" s="1"/>
      <c r="I3" s="2"/>
      <c r="J3" s="2"/>
      <c r="K3" s="2"/>
      <c r="L3" s="2"/>
    </row>
    <row r="4" spans="1:13" ht="15" customHeight="1" x14ac:dyDescent="0.25">
      <c r="H4" s="1"/>
      <c r="I4" s="2"/>
      <c r="J4" s="2"/>
      <c r="K4" s="2"/>
      <c r="L4" s="2"/>
    </row>
    <row r="5" spans="1:13" ht="15" customHeight="1" x14ac:dyDescent="0.3">
      <c r="A5" s="3"/>
      <c r="H5" s="1"/>
      <c r="I5" s="2"/>
      <c r="J5" s="2"/>
      <c r="K5" s="2"/>
      <c r="L5" s="2"/>
    </row>
    <row r="6" spans="1:13" ht="15" customHeight="1" x14ac:dyDescent="0.3">
      <c r="A6" s="3"/>
      <c r="H6" s="1"/>
      <c r="I6" s="2"/>
      <c r="J6" s="2"/>
      <c r="K6" s="2"/>
      <c r="L6" s="2"/>
    </row>
    <row r="7" spans="1:13" s="7" customFormat="1" ht="13.8" thickBot="1" x14ac:dyDescent="0.3">
      <c r="A7" s="4" t="s">
        <v>0</v>
      </c>
      <c r="B7" s="4"/>
      <c r="C7" s="4"/>
      <c r="D7" s="4"/>
      <c r="E7" s="4"/>
      <c r="F7" s="4"/>
      <c r="G7" s="4"/>
      <c r="H7" s="6"/>
      <c r="I7" s="5"/>
      <c r="J7" s="5"/>
      <c r="K7" s="5"/>
      <c r="L7" s="5"/>
      <c r="M7" s="11" t="s">
        <v>1</v>
      </c>
    </row>
    <row r="8" spans="1:13" s="7" customFormat="1" ht="13.8" thickBot="1" x14ac:dyDescent="0.3">
      <c r="H8" s="19"/>
      <c r="I8" s="20"/>
      <c r="J8" s="20"/>
      <c r="K8" s="20"/>
      <c r="L8" s="20"/>
      <c r="M8" s="21"/>
    </row>
    <row r="9" spans="1:13" s="7" customFormat="1" ht="13.8" thickBot="1" x14ac:dyDescent="0.3">
      <c r="A9" s="13" t="s">
        <v>47</v>
      </c>
      <c r="B9" s="32"/>
      <c r="C9" s="32"/>
      <c r="D9" s="33"/>
      <c r="H9" s="19"/>
      <c r="K9" s="77" t="s">
        <v>48</v>
      </c>
      <c r="L9" s="78"/>
      <c r="M9" s="43"/>
    </row>
    <row r="10" spans="1:13" s="7" customFormat="1" ht="13.8" thickBot="1" x14ac:dyDescent="0.3">
      <c r="A10" s="30" t="s">
        <v>49</v>
      </c>
      <c r="B10" s="67">
        <v>1.5</v>
      </c>
      <c r="C10" s="22"/>
      <c r="D10" s="81">
        <f>VLOOKUP($B$10,Data!$A$9:$B$14,2,FALSE)</f>
        <v>16</v>
      </c>
      <c r="E10" s="82"/>
      <c r="F10" s="12"/>
      <c r="G10" s="100"/>
      <c r="H10" s="100"/>
      <c r="I10" s="100"/>
      <c r="J10" s="101"/>
      <c r="K10" s="134" t="s">
        <v>35</v>
      </c>
      <c r="L10" s="135"/>
      <c r="M10" s="56" t="str">
        <f>IF($B$47&gt;0.5,"FAIL",IF($B$69&gt;=$B$47,"OK","FAIL"))</f>
        <v>OK</v>
      </c>
    </row>
    <row r="11" spans="1:13" s="7" customFormat="1" ht="13.8" thickBot="1" x14ac:dyDescent="0.3">
      <c r="A11" s="16" t="s">
        <v>50</v>
      </c>
      <c r="B11" s="130">
        <v>1000</v>
      </c>
      <c r="C11" s="66"/>
      <c r="E11" s="12"/>
      <c r="F11" s="12"/>
      <c r="G11" s="100"/>
      <c r="H11" s="100"/>
      <c r="I11" s="100"/>
      <c r="J11" s="101"/>
      <c r="K11" s="136" t="s">
        <v>36</v>
      </c>
      <c r="L11" s="137"/>
      <c r="M11" s="55" t="str">
        <f>IF($M$33&lt;=200,"OK","FAIL")</f>
        <v>OK</v>
      </c>
    </row>
    <row r="12" spans="1:13" s="7" customFormat="1" ht="15.6" x14ac:dyDescent="0.25">
      <c r="A12" s="50" t="s">
        <v>52</v>
      </c>
      <c r="D12" s="51" t="str">
        <f>IF(B11&gt;3500,"Error: The Maximum Lenght in the Line is 3500 m","")</f>
        <v/>
      </c>
      <c r="H12" s="19"/>
      <c r="I12" s="20"/>
      <c r="J12" s="20"/>
      <c r="K12" s="20"/>
      <c r="L12" s="21"/>
    </row>
    <row r="13" spans="1:13" s="7" customFormat="1" x14ac:dyDescent="0.25">
      <c r="A13" s="50"/>
      <c r="D13" s="51" t="str">
        <f>IF($B$47&gt;0.5,"Error: The Loop Current is upper that Maximum Current allowed",IF($B$69&lt;$B$47,"Error: The Loop Current is upper that Maximum Current allowed",""))</f>
        <v/>
      </c>
      <c r="H13" s="19"/>
      <c r="I13" s="20"/>
      <c r="J13" s="20"/>
      <c r="K13" s="20"/>
      <c r="L13" s="21"/>
    </row>
    <row r="14" spans="1:13" s="7" customFormat="1" x14ac:dyDescent="0.25">
      <c r="A14" s="50"/>
      <c r="D14" s="51" t="str">
        <f>IF($M$33&gt;250,"Error: The Loop cannot contain more than 200 addresses","")</f>
        <v/>
      </c>
      <c r="H14" s="19"/>
      <c r="I14" s="20"/>
      <c r="J14" s="20"/>
      <c r="K14" s="20"/>
      <c r="L14" s="21"/>
    </row>
    <row r="15" spans="1:13" s="7" customFormat="1" x14ac:dyDescent="0.25">
      <c r="A15" s="50"/>
      <c r="H15" s="19"/>
      <c r="I15" s="20"/>
      <c r="J15" s="20"/>
      <c r="K15" s="20"/>
      <c r="L15" s="21"/>
    </row>
    <row r="16" spans="1:13" ht="13.8" thickBot="1" x14ac:dyDescent="0.3">
      <c r="B16" s="10" t="s">
        <v>53</v>
      </c>
      <c r="C16" s="10" t="s">
        <v>53</v>
      </c>
    </row>
    <row r="17" spans="1:13" ht="13.8" thickBot="1" x14ac:dyDescent="0.3">
      <c r="A17" s="8" t="s">
        <v>54</v>
      </c>
      <c r="B17" s="9"/>
      <c r="C17" s="9"/>
      <c r="D17" s="9"/>
      <c r="E17" s="9"/>
      <c r="F17" s="9"/>
      <c r="G17" s="9"/>
      <c r="H17" s="48"/>
      <c r="I17" s="48"/>
      <c r="J17" s="48"/>
      <c r="K17" s="48"/>
      <c r="L17" s="48"/>
      <c r="M17" s="49"/>
    </row>
    <row r="18" spans="1:13" s="7" customFormat="1" ht="13.8" thickBot="1" x14ac:dyDescent="0.3">
      <c r="A18" s="46" t="s">
        <v>55</v>
      </c>
      <c r="B18" s="47" t="s">
        <v>12</v>
      </c>
      <c r="C18" s="47" t="s">
        <v>7</v>
      </c>
      <c r="D18" s="47" t="s">
        <v>7</v>
      </c>
      <c r="E18" s="47" t="s">
        <v>56</v>
      </c>
      <c r="F18" s="47" t="s">
        <v>8</v>
      </c>
      <c r="G18" s="47" t="s">
        <v>8</v>
      </c>
      <c r="H18" s="47" t="s">
        <v>57</v>
      </c>
      <c r="I18" s="87" t="s">
        <v>58</v>
      </c>
      <c r="J18" s="87" t="s">
        <v>59</v>
      </c>
      <c r="K18" s="87" t="s">
        <v>60</v>
      </c>
      <c r="L18" s="87" t="s">
        <v>61</v>
      </c>
      <c r="M18" s="88" t="s">
        <v>62</v>
      </c>
    </row>
    <row r="19" spans="1:13" x14ac:dyDescent="0.25">
      <c r="A19" s="30" t="s">
        <v>63</v>
      </c>
      <c r="B19" s="98">
        <v>0</v>
      </c>
      <c r="C19" s="64">
        <f>0.3/1000</f>
        <v>2.9999999999999997E-4</v>
      </c>
      <c r="D19" s="72">
        <f>B19*C19</f>
        <v>0</v>
      </c>
      <c r="E19" s="83">
        <f>B19</f>
        <v>0</v>
      </c>
      <c r="F19" s="64">
        <f t="shared" ref="F19:F24" si="0">1/1000</f>
        <v>1E-3</v>
      </c>
      <c r="G19" s="72">
        <f>E19*F19</f>
        <v>0</v>
      </c>
      <c r="H19" s="25"/>
      <c r="I19" s="79"/>
      <c r="J19" s="79"/>
      <c r="K19" s="89" t="str">
        <f>IF(B19&lt;&gt;0,B19," ")</f>
        <v xml:space="preserve"> </v>
      </c>
      <c r="L19" s="79"/>
      <c r="M19" s="90" t="str">
        <f>IF(K19&lt;&gt;0,K19," ")</f>
        <v xml:space="preserve"> </v>
      </c>
    </row>
    <row r="20" spans="1:13" x14ac:dyDescent="0.25">
      <c r="A20" s="30" t="s">
        <v>64</v>
      </c>
      <c r="B20" s="98">
        <v>0</v>
      </c>
      <c r="C20" s="14">
        <v>2.9999999999999997E-4</v>
      </c>
      <c r="D20" s="72">
        <f t="shared" ref="D20:D32" si="1">B20*C20</f>
        <v>0</v>
      </c>
      <c r="E20" s="83">
        <f t="shared" ref="E20:E32" si="2">B20</f>
        <v>0</v>
      </c>
      <c r="F20" s="14">
        <f t="shared" si="0"/>
        <v>1E-3</v>
      </c>
      <c r="G20" s="72">
        <f t="shared" ref="G20:G32" si="3">E20*F20</f>
        <v>0</v>
      </c>
      <c r="H20" s="27"/>
      <c r="I20" s="79"/>
      <c r="J20" s="89" t="str">
        <f>IF(B20&lt;&gt;0,B20," ")</f>
        <v xml:space="preserve"> </v>
      </c>
      <c r="K20" s="91"/>
      <c r="L20" s="91"/>
      <c r="M20" s="90" t="str">
        <f>IF(J20&lt;&gt;0,J20," ")</f>
        <v xml:space="preserve"> </v>
      </c>
    </row>
    <row r="21" spans="1:13" x14ac:dyDescent="0.25">
      <c r="A21" s="15" t="s">
        <v>65</v>
      </c>
      <c r="B21" s="98">
        <v>0</v>
      </c>
      <c r="C21" s="14">
        <v>2.9999999999999997E-4</v>
      </c>
      <c r="D21" s="72">
        <f t="shared" si="1"/>
        <v>0</v>
      </c>
      <c r="E21" s="83">
        <f t="shared" si="2"/>
        <v>0</v>
      </c>
      <c r="F21" s="14">
        <f t="shared" si="0"/>
        <v>1E-3</v>
      </c>
      <c r="G21" s="72">
        <f t="shared" si="3"/>
        <v>0</v>
      </c>
      <c r="H21" s="27"/>
      <c r="I21" s="79"/>
      <c r="J21" s="89" t="str">
        <f>IF(B21&lt;&gt;0,B21," ")</f>
        <v xml:space="preserve"> </v>
      </c>
      <c r="K21" s="91"/>
      <c r="L21" s="91"/>
      <c r="M21" s="90" t="str">
        <f>IF(J21&lt;&gt;0,J21," ")</f>
        <v xml:space="preserve"> </v>
      </c>
    </row>
    <row r="22" spans="1:13" x14ac:dyDescent="0.25">
      <c r="A22" s="15" t="s">
        <v>66</v>
      </c>
      <c r="B22" s="98">
        <v>0</v>
      </c>
      <c r="C22" s="14">
        <v>2.9999999999999997E-4</v>
      </c>
      <c r="D22" s="72">
        <f t="shared" si="1"/>
        <v>0</v>
      </c>
      <c r="E22" s="83">
        <f t="shared" si="2"/>
        <v>0</v>
      </c>
      <c r="F22" s="14">
        <f t="shared" si="0"/>
        <v>1E-3</v>
      </c>
      <c r="G22" s="72">
        <f t="shared" si="3"/>
        <v>0</v>
      </c>
      <c r="H22" s="27"/>
      <c r="I22" s="79"/>
      <c r="J22" s="89" t="str">
        <f>IF(B22&lt;&gt;0,B22," ")</f>
        <v xml:space="preserve"> </v>
      </c>
      <c r="K22" s="91"/>
      <c r="L22" s="91"/>
      <c r="M22" s="90" t="str">
        <f>IF(J22&lt;&gt;0,J22," ")</f>
        <v xml:space="preserve"> </v>
      </c>
    </row>
    <row r="23" spans="1:13" x14ac:dyDescent="0.25">
      <c r="A23" s="15" t="s">
        <v>67</v>
      </c>
      <c r="B23" s="98">
        <v>0</v>
      </c>
      <c r="C23" s="14">
        <f t="shared" ref="C23:C28" si="4">0.25/1000</f>
        <v>2.5000000000000001E-4</v>
      </c>
      <c r="D23" s="72">
        <f t="shared" si="1"/>
        <v>0</v>
      </c>
      <c r="E23" s="83">
        <f t="shared" si="2"/>
        <v>0</v>
      </c>
      <c r="F23" s="14">
        <f t="shared" si="0"/>
        <v>1E-3</v>
      </c>
      <c r="G23" s="72">
        <f t="shared" si="3"/>
        <v>0</v>
      </c>
      <c r="H23" s="27"/>
      <c r="I23" s="79"/>
      <c r="J23" s="91"/>
      <c r="K23" s="89" t="str">
        <f>IF(B23&lt;&gt;0,B23," ")</f>
        <v xml:space="preserve"> </v>
      </c>
      <c r="L23" s="91"/>
      <c r="M23" s="90" t="str">
        <f>IF(K23&lt;&gt;0,K23," ")</f>
        <v xml:space="preserve"> </v>
      </c>
    </row>
    <row r="24" spans="1:13" x14ac:dyDescent="0.25">
      <c r="A24" s="15" t="s">
        <v>68</v>
      </c>
      <c r="B24" s="98">
        <v>0</v>
      </c>
      <c r="C24" s="14">
        <f t="shared" si="4"/>
        <v>2.5000000000000001E-4</v>
      </c>
      <c r="D24" s="72">
        <f t="shared" si="1"/>
        <v>0</v>
      </c>
      <c r="E24" s="83">
        <f t="shared" si="2"/>
        <v>0</v>
      </c>
      <c r="F24" s="14">
        <f t="shared" si="0"/>
        <v>1E-3</v>
      </c>
      <c r="G24" s="72">
        <f t="shared" si="3"/>
        <v>0</v>
      </c>
      <c r="H24" s="27"/>
      <c r="I24" s="79"/>
      <c r="J24" s="91"/>
      <c r="K24" s="89" t="str">
        <f>IF(B24&lt;&gt;0,B24," ")</f>
        <v xml:space="preserve"> </v>
      </c>
      <c r="L24" s="91"/>
      <c r="M24" s="90" t="str">
        <f>IF(K24&lt;&gt;0,K24," ")</f>
        <v xml:space="preserve"> </v>
      </c>
    </row>
    <row r="25" spans="1:13" x14ac:dyDescent="0.25">
      <c r="A25" s="15" t="s">
        <v>69</v>
      </c>
      <c r="B25" s="98">
        <v>0</v>
      </c>
      <c r="C25" s="14">
        <f t="shared" si="4"/>
        <v>2.5000000000000001E-4</v>
      </c>
      <c r="D25" s="72">
        <f t="shared" si="1"/>
        <v>0</v>
      </c>
      <c r="E25" s="83">
        <f t="shared" si="2"/>
        <v>0</v>
      </c>
      <c r="F25" s="14">
        <f>0.25/1000</f>
        <v>2.5000000000000001E-4</v>
      </c>
      <c r="G25" s="72">
        <f t="shared" si="3"/>
        <v>0</v>
      </c>
      <c r="H25" s="27"/>
      <c r="I25" s="79"/>
      <c r="J25" s="91"/>
      <c r="K25" s="89" t="str">
        <f>IF(B25&lt;&gt;0,B25," ")</f>
        <v xml:space="preserve"> </v>
      </c>
      <c r="L25" s="91"/>
      <c r="M25" s="90" t="str">
        <f>IF(K25&lt;&gt;0,K25," ")</f>
        <v xml:space="preserve"> </v>
      </c>
    </row>
    <row r="26" spans="1:13" x14ac:dyDescent="0.25">
      <c r="A26" s="15" t="s">
        <v>70</v>
      </c>
      <c r="B26" s="98">
        <v>0</v>
      </c>
      <c r="C26" s="14">
        <f t="shared" si="4"/>
        <v>2.5000000000000001E-4</v>
      </c>
      <c r="D26" s="72">
        <f t="shared" si="1"/>
        <v>0</v>
      </c>
      <c r="E26" s="83">
        <f t="shared" si="2"/>
        <v>0</v>
      </c>
      <c r="F26" s="14">
        <f>0.25/1000</f>
        <v>2.5000000000000001E-4</v>
      </c>
      <c r="G26" s="72">
        <f t="shared" si="3"/>
        <v>0</v>
      </c>
      <c r="H26" s="73" t="str">
        <f>IF(B26*G26=0," ",G26)</f>
        <v xml:space="preserve"> </v>
      </c>
      <c r="I26" s="79"/>
      <c r="J26" s="91"/>
      <c r="K26" s="91"/>
      <c r="L26" s="89" t="str">
        <f>IF(B26&lt;&gt;0,B26," ")</f>
        <v xml:space="preserve"> </v>
      </c>
      <c r="M26" s="90" t="str">
        <f>IF(L26&lt;&gt;0,L26," ")</f>
        <v xml:space="preserve"> </v>
      </c>
    </row>
    <row r="27" spans="1:13" x14ac:dyDescent="0.25">
      <c r="A27" s="15" t="s">
        <v>71</v>
      </c>
      <c r="B27" s="98">
        <v>0</v>
      </c>
      <c r="C27" s="14">
        <f t="shared" si="4"/>
        <v>2.5000000000000001E-4</v>
      </c>
      <c r="D27" s="72">
        <f t="shared" si="1"/>
        <v>0</v>
      </c>
      <c r="E27" s="83">
        <f t="shared" si="2"/>
        <v>0</v>
      </c>
      <c r="F27" s="14">
        <f>0.25/1000</f>
        <v>2.5000000000000001E-4</v>
      </c>
      <c r="G27" s="72">
        <f t="shared" si="3"/>
        <v>0</v>
      </c>
      <c r="H27" s="73" t="str">
        <f t="shared" ref="H27:H28" si="5">IF(B27*G27=0," ",G27)</f>
        <v xml:space="preserve"> </v>
      </c>
      <c r="I27" s="79"/>
      <c r="J27" s="91"/>
      <c r="K27" s="91"/>
      <c r="L27" s="89" t="str">
        <f>IF(B27&lt;&gt;0,B27," ")</f>
        <v xml:space="preserve"> </v>
      </c>
      <c r="M27" s="90" t="str">
        <f>IF(L27&lt;&gt;0,L27," ")</f>
        <v xml:space="preserve"> </v>
      </c>
    </row>
    <row r="28" spans="1:13" x14ac:dyDescent="0.25">
      <c r="A28" s="15" t="s">
        <v>72</v>
      </c>
      <c r="B28" s="98">
        <v>0</v>
      </c>
      <c r="C28" s="14">
        <f t="shared" si="4"/>
        <v>2.5000000000000001E-4</v>
      </c>
      <c r="D28" s="72">
        <f t="shared" si="1"/>
        <v>0</v>
      </c>
      <c r="E28" s="83">
        <f t="shared" si="2"/>
        <v>0</v>
      </c>
      <c r="F28" s="14">
        <f>10/1000</f>
        <v>0.01</v>
      </c>
      <c r="G28" s="72">
        <f t="shared" si="3"/>
        <v>0</v>
      </c>
      <c r="H28" s="73" t="str">
        <f t="shared" si="5"/>
        <v xml:space="preserve"> </v>
      </c>
      <c r="I28" s="79"/>
      <c r="J28" s="91"/>
      <c r="K28" s="91"/>
      <c r="L28" s="89" t="str">
        <f>IF(B28&lt;&gt;0,B28," ")</f>
        <v xml:space="preserve"> </v>
      </c>
      <c r="M28" s="90" t="str">
        <f>IF(L28&lt;&gt;0,L28," ")</f>
        <v xml:space="preserve"> </v>
      </c>
    </row>
    <row r="29" spans="1:13" x14ac:dyDescent="0.25">
      <c r="A29" s="15" t="s">
        <v>73</v>
      </c>
      <c r="B29" s="98">
        <v>0</v>
      </c>
      <c r="C29" s="14">
        <f>9/1000</f>
        <v>8.9999999999999993E-3</v>
      </c>
      <c r="D29" s="72">
        <f t="shared" si="1"/>
        <v>0</v>
      </c>
      <c r="E29" s="83">
        <f t="shared" si="2"/>
        <v>0</v>
      </c>
      <c r="F29" s="14">
        <f>46/1000</f>
        <v>4.5999999999999999E-2</v>
      </c>
      <c r="G29" s="72">
        <f t="shared" si="3"/>
        <v>0</v>
      </c>
      <c r="H29" s="27"/>
      <c r="I29" s="79"/>
      <c r="J29" s="91"/>
      <c r="K29" s="89" t="str">
        <f>IF(B29&lt;&gt;0,B29," ")</f>
        <v xml:space="preserve"> </v>
      </c>
      <c r="L29" s="91"/>
      <c r="M29" s="90" t="str">
        <f>IF(K29&lt;&gt;0,K29," ")</f>
        <v xml:space="preserve"> </v>
      </c>
    </row>
    <row r="30" spans="1:13" x14ac:dyDescent="0.25">
      <c r="A30" s="15" t="s">
        <v>74</v>
      </c>
      <c r="B30" s="98">
        <v>0</v>
      </c>
      <c r="C30" s="14">
        <f>2/1000</f>
        <v>2E-3</v>
      </c>
      <c r="D30" s="72">
        <f t="shared" si="1"/>
        <v>0</v>
      </c>
      <c r="E30" s="83">
        <f t="shared" si="2"/>
        <v>0</v>
      </c>
      <c r="F30" s="14">
        <f>2/1000</f>
        <v>2E-3</v>
      </c>
      <c r="G30" s="72">
        <f t="shared" si="3"/>
        <v>0</v>
      </c>
      <c r="H30" s="27"/>
      <c r="I30" s="79"/>
      <c r="J30" s="91"/>
      <c r="K30" s="89" t="str">
        <f>IF(B30&lt;&gt;0,B30," ")</f>
        <v xml:space="preserve"> </v>
      </c>
      <c r="L30" s="91"/>
      <c r="M30" s="90" t="str">
        <f>IF(K30&lt;&gt;0,K30," ")</f>
        <v xml:space="preserve"> </v>
      </c>
    </row>
    <row r="31" spans="1:13" x14ac:dyDescent="0.25">
      <c r="A31" s="15" t="s">
        <v>75</v>
      </c>
      <c r="B31" s="98">
        <v>0</v>
      </c>
      <c r="C31" s="14">
        <f>0.25/1000</f>
        <v>2.5000000000000001E-4</v>
      </c>
      <c r="D31" s="72">
        <f t="shared" si="1"/>
        <v>0</v>
      </c>
      <c r="E31" s="83">
        <f t="shared" si="2"/>
        <v>0</v>
      </c>
      <c r="F31" s="14">
        <f>0.25/1000</f>
        <v>2.5000000000000001E-4</v>
      </c>
      <c r="G31" s="72">
        <f t="shared" si="3"/>
        <v>0</v>
      </c>
      <c r="H31" s="27"/>
      <c r="I31" s="89" t="str">
        <f>IF(B30&lt;&gt;0,B30," ")</f>
        <v xml:space="preserve"> </v>
      </c>
      <c r="J31" s="91"/>
      <c r="K31" s="91"/>
      <c r="L31" s="91"/>
      <c r="M31" s="92"/>
    </row>
    <row r="32" spans="1:13" ht="13.8" thickBot="1" x14ac:dyDescent="0.3">
      <c r="A32" s="15" t="s">
        <v>76</v>
      </c>
      <c r="B32" s="98">
        <v>0</v>
      </c>
      <c r="C32" s="14">
        <v>6.2500000000000001E-4</v>
      </c>
      <c r="D32" s="72">
        <f t="shared" si="1"/>
        <v>0</v>
      </c>
      <c r="E32" s="83">
        <f t="shared" si="2"/>
        <v>0</v>
      </c>
      <c r="F32" s="65">
        <f>8/1000</f>
        <v>8.0000000000000002E-3</v>
      </c>
      <c r="G32" s="72">
        <f t="shared" si="3"/>
        <v>0</v>
      </c>
      <c r="H32" s="24"/>
      <c r="I32" s="79"/>
      <c r="J32" s="93"/>
      <c r="K32" s="93"/>
      <c r="L32" s="94"/>
      <c r="M32" s="95"/>
    </row>
    <row r="33" spans="1:13" s="7" customFormat="1" ht="13.8" thickBot="1" x14ac:dyDescent="0.3">
      <c r="A33" s="13" t="s">
        <v>77</v>
      </c>
      <c r="B33" s="96">
        <f>SUM(B19:B32)</f>
        <v>0</v>
      </c>
      <c r="C33" s="70"/>
      <c r="D33" s="69">
        <f>SUM(D19:D32)</f>
        <v>0</v>
      </c>
      <c r="E33" s="69">
        <f>SUM(E19:E31)</f>
        <v>0</v>
      </c>
      <c r="F33" s="69"/>
      <c r="G33" s="69">
        <f t="shared" ref="G33:M33" si="6">SUM(G19:G32)</f>
        <v>0</v>
      </c>
      <c r="H33" s="69">
        <f t="shared" si="6"/>
        <v>0</v>
      </c>
      <c r="I33" s="96">
        <f>SUM(I19:I32)</f>
        <v>0</v>
      </c>
      <c r="J33" s="96">
        <f t="shared" si="6"/>
        <v>0</v>
      </c>
      <c r="K33" s="96">
        <f t="shared" si="6"/>
        <v>0</v>
      </c>
      <c r="L33" s="96">
        <f t="shared" si="6"/>
        <v>0</v>
      </c>
      <c r="M33" s="97">
        <f t="shared" si="6"/>
        <v>0</v>
      </c>
    </row>
    <row r="34" spans="1:13" s="7" customFormat="1" x14ac:dyDescent="0.25">
      <c r="B34" s="34"/>
      <c r="C34" s="35"/>
      <c r="D34" s="51" t="str">
        <f>IF(M33&gt;200,"Error: The Loop cannot contain more than 200 addresses","")</f>
        <v/>
      </c>
      <c r="E34" s="37"/>
      <c r="F34" s="36"/>
      <c r="G34" s="36"/>
      <c r="H34" s="36"/>
      <c r="I34" s="36"/>
      <c r="J34" s="36"/>
      <c r="K34" s="34"/>
      <c r="L34" s="34"/>
    </row>
    <row r="35" spans="1:13" s="7" customFormat="1" x14ac:dyDescent="0.25">
      <c r="A35" s="50"/>
      <c r="D35" s="51" t="str">
        <f>IF(B28&gt;30,"Error: The Loop cannot contain more than 30 Loop Sounders in 1.000 meters","")</f>
        <v/>
      </c>
      <c r="H35" s="19"/>
      <c r="I35" s="20"/>
      <c r="J35" s="20"/>
      <c r="K35" s="20"/>
      <c r="L35" s="21"/>
    </row>
    <row r="36" spans="1:13" s="7" customFormat="1" x14ac:dyDescent="0.25">
      <c r="A36" s="50"/>
      <c r="D36" s="51" t="str">
        <f>IF(AND(B11&gt;1000,B28&gt;19),"Error: The Loop cannot contain more than 19 Loop Sounders in 2.000 meters","")</f>
        <v/>
      </c>
      <c r="H36" s="19"/>
      <c r="I36" s="20"/>
      <c r="J36" s="20"/>
      <c r="K36" s="20"/>
      <c r="L36" s="21"/>
    </row>
    <row r="37" spans="1:13" s="7" customFormat="1" x14ac:dyDescent="0.25">
      <c r="A37" s="50"/>
      <c r="D37" s="51" t="str">
        <f>IF(AND(B29&gt;6),"Error: The Loop cannot contain more than 6 Zone Modules Powered from the Loop","")</f>
        <v/>
      </c>
      <c r="H37" s="19"/>
      <c r="I37" s="20"/>
      <c r="J37" s="20"/>
      <c r="K37" s="20"/>
      <c r="L37" s="21"/>
    </row>
    <row r="38" spans="1:13" s="7" customFormat="1" x14ac:dyDescent="0.25">
      <c r="B38" s="34"/>
      <c r="C38" s="35"/>
      <c r="D38" s="71" t="str">
        <f>IF(OR(B25&gt;0,B27&gt;0,B30&gt;0),"Info: External 24V needed. EN 54-4 certificate."," ")</f>
        <v xml:space="preserve"> </v>
      </c>
      <c r="E38" s="37"/>
      <c r="F38" s="36"/>
      <c r="G38" s="36"/>
      <c r="H38" s="36"/>
      <c r="I38" s="36"/>
      <c r="J38" s="36"/>
      <c r="K38" s="34"/>
      <c r="L38" s="34"/>
    </row>
    <row r="39" spans="1:13" s="7" customFormat="1" x14ac:dyDescent="0.25">
      <c r="B39" s="34"/>
      <c r="C39" s="35"/>
      <c r="D39" s="71" t="str">
        <f>IF(OR(B25&gt;0,B27&gt;0,B30&gt;0),"        Control Panel could provide from 24Vaux,"," ")</f>
        <v xml:space="preserve"> </v>
      </c>
      <c r="E39" s="37"/>
      <c r="F39" s="36"/>
      <c r="G39" s="36"/>
      <c r="H39" s="36"/>
      <c r="I39" s="36"/>
      <c r="J39" s="36"/>
      <c r="K39" s="34"/>
      <c r="L39" s="34"/>
    </row>
    <row r="40" spans="1:13" s="7" customFormat="1" x14ac:dyDescent="0.25">
      <c r="B40" s="34"/>
      <c r="C40" s="35"/>
      <c r="D40" s="71" t="str">
        <f>IF(OR(B25&gt;0,B27&gt;0,B30&gt;0),"         if 2A maximum current isn't exceeded."," ")</f>
        <v xml:space="preserve"> </v>
      </c>
      <c r="E40" s="37"/>
      <c r="F40" s="36"/>
      <c r="G40" s="36"/>
      <c r="H40" s="36"/>
      <c r="I40" s="36"/>
      <c r="J40" s="36"/>
      <c r="K40" s="34"/>
      <c r="L40" s="34"/>
    </row>
    <row r="41" spans="1:13" ht="14.4" customHeight="1" thickBot="1" x14ac:dyDescent="0.3">
      <c r="E41" s="17"/>
      <c r="K41" s="51"/>
    </row>
    <row r="42" spans="1:13" ht="14.4" customHeight="1" thickBot="1" x14ac:dyDescent="0.3">
      <c r="A42" s="13" t="s">
        <v>78</v>
      </c>
      <c r="B42" s="41"/>
      <c r="C42" s="41"/>
      <c r="D42" s="42"/>
      <c r="E42" s="17"/>
    </row>
    <row r="43" spans="1:13" ht="14.4" customHeight="1" x14ac:dyDescent="0.25">
      <c r="A43" s="30" t="s">
        <v>79</v>
      </c>
      <c r="B43" s="45">
        <v>1.72E-2</v>
      </c>
      <c r="C43" s="25"/>
      <c r="D43" s="31" t="s">
        <v>80</v>
      </c>
      <c r="E43" s="17"/>
    </row>
    <row r="44" spans="1:13" ht="14.4" customHeight="1" x14ac:dyDescent="0.25">
      <c r="A44" s="15" t="s">
        <v>81</v>
      </c>
      <c r="B44" s="74">
        <f>D33</f>
        <v>0</v>
      </c>
      <c r="C44" s="27"/>
      <c r="D44" s="29" t="s">
        <v>82</v>
      </c>
      <c r="E44" s="17"/>
    </row>
    <row r="45" spans="1:13" ht="14.4" customHeight="1" x14ac:dyDescent="0.25">
      <c r="A45" s="15" t="s">
        <v>83</v>
      </c>
      <c r="B45" s="74">
        <f>G33-H33</f>
        <v>0</v>
      </c>
      <c r="C45" s="27"/>
      <c r="D45" s="29" t="s">
        <v>82</v>
      </c>
      <c r="E45" s="17"/>
    </row>
    <row r="46" spans="1:13" ht="14.4" customHeight="1" x14ac:dyDescent="0.25">
      <c r="A46" s="15" t="s">
        <v>84</v>
      </c>
      <c r="B46" s="74">
        <f>H33</f>
        <v>0</v>
      </c>
      <c r="C46" s="27"/>
      <c r="D46" s="29" t="s">
        <v>82</v>
      </c>
      <c r="E46" s="17"/>
    </row>
    <row r="47" spans="1:13" ht="14.4" customHeight="1" x14ac:dyDescent="0.25">
      <c r="A47" s="15" t="s">
        <v>21</v>
      </c>
      <c r="B47" s="74">
        <f>SUM(B44:B46)</f>
        <v>0</v>
      </c>
      <c r="C47" s="27"/>
      <c r="D47" s="29" t="s">
        <v>82</v>
      </c>
      <c r="E47" s="17"/>
    </row>
    <row r="48" spans="1:13" ht="14.4" customHeight="1" thickBot="1" x14ac:dyDescent="0.3">
      <c r="A48" s="16" t="s">
        <v>85</v>
      </c>
      <c r="B48" s="39">
        <v>6.9</v>
      </c>
      <c r="C48" s="39"/>
      <c r="D48" s="18" t="s">
        <v>86</v>
      </c>
      <c r="E48" s="17"/>
    </row>
    <row r="49" spans="1:12" ht="14.4" customHeight="1" thickBot="1" x14ac:dyDescent="0.3">
      <c r="A49" s="12"/>
      <c r="E49" s="17"/>
    </row>
    <row r="50" spans="1:12" ht="14.4" customHeight="1" thickBot="1" x14ac:dyDescent="0.3">
      <c r="A50" s="8" t="s">
        <v>87</v>
      </c>
      <c r="B50" s="48"/>
      <c r="C50" s="48"/>
      <c r="D50" s="48"/>
      <c r="E50" s="84"/>
      <c r="F50" s="48"/>
      <c r="G50" s="48"/>
      <c r="H50" s="48"/>
      <c r="I50" s="48"/>
      <c r="J50" s="48"/>
      <c r="K50" s="49"/>
      <c r="L50" s="52"/>
    </row>
    <row r="51" spans="1:12" ht="14.4" customHeight="1" x14ac:dyDescent="0.25">
      <c r="A51" s="62" t="s">
        <v>88</v>
      </c>
      <c r="B51" s="79">
        <v>1000</v>
      </c>
      <c r="C51" s="79"/>
      <c r="D51" s="79">
        <v>1500</v>
      </c>
      <c r="E51" s="85"/>
      <c r="F51" s="79"/>
      <c r="G51" s="79">
        <v>2000</v>
      </c>
      <c r="H51" s="79">
        <v>2500</v>
      </c>
      <c r="I51" s="79">
        <v>3000</v>
      </c>
      <c r="J51" s="80">
        <v>3500</v>
      </c>
      <c r="K51" s="53" t="s">
        <v>89</v>
      </c>
    </row>
    <row r="52" spans="1:12" ht="14.4" customHeight="1" x14ac:dyDescent="0.25">
      <c r="A52" s="26" t="s">
        <v>90</v>
      </c>
      <c r="B52" s="75">
        <f>((($B$43*B51)/B54)*2)</f>
        <v>68.8</v>
      </c>
      <c r="C52" s="75">
        <f t="shared" ref="C52:J52" si="7">((($B$43*C51)/C54)*2)</f>
        <v>0</v>
      </c>
      <c r="D52" s="75">
        <f t="shared" si="7"/>
        <v>103.2</v>
      </c>
      <c r="E52" s="75">
        <f t="shared" si="7"/>
        <v>0</v>
      </c>
      <c r="F52" s="75">
        <f t="shared" si="7"/>
        <v>0</v>
      </c>
      <c r="G52" s="75">
        <f t="shared" si="7"/>
        <v>137.6</v>
      </c>
      <c r="H52" s="75">
        <f t="shared" si="7"/>
        <v>172</v>
      </c>
      <c r="I52" s="75">
        <f t="shared" si="7"/>
        <v>206.4</v>
      </c>
      <c r="J52" s="75">
        <f t="shared" si="7"/>
        <v>240.8</v>
      </c>
      <c r="K52" s="54" t="s">
        <v>91</v>
      </c>
    </row>
    <row r="53" spans="1:12" ht="14.4" customHeight="1" thickBot="1" x14ac:dyDescent="0.3">
      <c r="A53" s="61" t="s">
        <v>92</v>
      </c>
      <c r="B53" s="75">
        <f>B52/2</f>
        <v>34.4</v>
      </c>
      <c r="C53" s="75">
        <f t="shared" ref="C53:J53" si="8">C52/2</f>
        <v>0</v>
      </c>
      <c r="D53" s="75">
        <f t="shared" si="8"/>
        <v>51.6</v>
      </c>
      <c r="E53" s="75">
        <f t="shared" si="8"/>
        <v>0</v>
      </c>
      <c r="F53" s="75">
        <f t="shared" si="8"/>
        <v>0</v>
      </c>
      <c r="G53" s="75">
        <f t="shared" si="8"/>
        <v>68.8</v>
      </c>
      <c r="H53" s="75">
        <f t="shared" si="8"/>
        <v>86</v>
      </c>
      <c r="I53" s="75">
        <f t="shared" si="8"/>
        <v>103.2</v>
      </c>
      <c r="J53" s="75">
        <f t="shared" si="8"/>
        <v>120.4</v>
      </c>
      <c r="K53" s="60" t="s">
        <v>91</v>
      </c>
    </row>
    <row r="54" spans="1:12" ht="14.4" customHeight="1" thickBot="1" x14ac:dyDescent="0.3">
      <c r="A54" s="13" t="s">
        <v>93</v>
      </c>
      <c r="B54" s="63">
        <f>IF(IFERROR((($B$43*B$51)/(($B$48)/$B$47)),0)&lt;0.5,0.5,IFERROR((($B$43*B$51)/(($B$48)/$B$47)),0))</f>
        <v>0.5</v>
      </c>
      <c r="C54" s="63">
        <f t="shared" ref="C54:J54" si="9">IF(IFERROR((($B$43*C$51)/(($B$48)/$B$47)),0)&lt;0.5,0.5,IFERROR((($B$43*C$51)/(($B$48)/$B$47)),0))</f>
        <v>0.5</v>
      </c>
      <c r="D54" s="63">
        <f t="shared" si="9"/>
        <v>0.5</v>
      </c>
      <c r="E54" s="63">
        <f t="shared" si="9"/>
        <v>0.5</v>
      </c>
      <c r="F54" s="63">
        <f t="shared" si="9"/>
        <v>0.5</v>
      </c>
      <c r="G54" s="63">
        <f t="shared" si="9"/>
        <v>0.5</v>
      </c>
      <c r="H54" s="63">
        <f t="shared" si="9"/>
        <v>0.5</v>
      </c>
      <c r="I54" s="63">
        <f t="shared" si="9"/>
        <v>0.5</v>
      </c>
      <c r="J54" s="63">
        <f t="shared" si="9"/>
        <v>0.5</v>
      </c>
      <c r="K54" s="28" t="s">
        <v>94</v>
      </c>
    </row>
    <row r="55" spans="1:12" ht="14.4" customHeight="1" x14ac:dyDescent="0.25">
      <c r="A55" s="12"/>
      <c r="B55" s="52" t="s">
        <v>95</v>
      </c>
      <c r="D55" s="52"/>
      <c r="E55" s="17"/>
    </row>
    <row r="56" spans="1:12" ht="14.4" customHeight="1" thickBot="1" x14ac:dyDescent="0.3">
      <c r="A56" s="12"/>
      <c r="E56" s="17"/>
    </row>
    <row r="57" spans="1:12" ht="14.4" customHeight="1" thickBot="1" x14ac:dyDescent="0.3">
      <c r="A57" s="8" t="s">
        <v>96</v>
      </c>
      <c r="B57" s="48"/>
      <c r="C57" s="48"/>
      <c r="D57" s="48"/>
      <c r="E57" s="84"/>
      <c r="F57" s="48"/>
      <c r="G57" s="48"/>
      <c r="H57" s="48"/>
      <c r="I57" s="48"/>
      <c r="J57" s="48"/>
      <c r="K57" s="49"/>
      <c r="L57" s="52"/>
    </row>
    <row r="58" spans="1:12" ht="14.4" customHeight="1" x14ac:dyDescent="0.25">
      <c r="A58" s="53" t="s">
        <v>97</v>
      </c>
      <c r="B58" s="23">
        <v>0.5</v>
      </c>
      <c r="C58" s="25"/>
      <c r="D58" s="25">
        <v>0.75</v>
      </c>
      <c r="E58" s="86"/>
      <c r="F58" s="25"/>
      <c r="G58" s="25">
        <v>1</v>
      </c>
      <c r="H58" s="25">
        <v>1.5</v>
      </c>
      <c r="I58" s="25">
        <v>2.5</v>
      </c>
      <c r="J58" s="58">
        <v>4</v>
      </c>
      <c r="K58" s="53" t="s">
        <v>98</v>
      </c>
    </row>
    <row r="59" spans="1:12" ht="14.4" customHeight="1" x14ac:dyDescent="0.25">
      <c r="A59" s="57" t="s">
        <v>90</v>
      </c>
      <c r="B59" s="75">
        <f t="shared" ref="B59:J59" si="10">$B$43*B61/B58*2</f>
        <v>240.8</v>
      </c>
      <c r="C59" s="75" t="e">
        <f t="shared" si="10"/>
        <v>#DIV/0!</v>
      </c>
      <c r="D59" s="75">
        <f t="shared" si="10"/>
        <v>160.53333333333333</v>
      </c>
      <c r="E59" s="75" t="e">
        <f t="shared" si="10"/>
        <v>#DIV/0!</v>
      </c>
      <c r="F59" s="75" t="e">
        <f t="shared" si="10"/>
        <v>#DIV/0!</v>
      </c>
      <c r="G59" s="75">
        <f t="shared" si="10"/>
        <v>120.4</v>
      </c>
      <c r="H59" s="75">
        <f t="shared" si="10"/>
        <v>80.266666666666666</v>
      </c>
      <c r="I59" s="75">
        <f t="shared" si="10"/>
        <v>48.160000000000004</v>
      </c>
      <c r="J59" s="75">
        <f t="shared" si="10"/>
        <v>30.1</v>
      </c>
      <c r="K59" s="54" t="s">
        <v>91</v>
      </c>
    </row>
    <row r="60" spans="1:12" ht="14.4" customHeight="1" thickBot="1" x14ac:dyDescent="0.3">
      <c r="A60" s="59" t="s">
        <v>92</v>
      </c>
      <c r="B60" s="75">
        <f>B59/2</f>
        <v>120.4</v>
      </c>
      <c r="C60" s="75" t="e">
        <f t="shared" ref="C60:J60" si="11">C59/2</f>
        <v>#DIV/0!</v>
      </c>
      <c r="D60" s="75">
        <f t="shared" si="11"/>
        <v>80.266666666666666</v>
      </c>
      <c r="E60" s="75" t="e">
        <f t="shared" si="11"/>
        <v>#DIV/0!</v>
      </c>
      <c r="F60" s="75" t="e">
        <f t="shared" si="11"/>
        <v>#DIV/0!</v>
      </c>
      <c r="G60" s="75">
        <f t="shared" si="11"/>
        <v>60.2</v>
      </c>
      <c r="H60" s="75">
        <f t="shared" si="11"/>
        <v>40.133333333333333</v>
      </c>
      <c r="I60" s="75">
        <f t="shared" si="11"/>
        <v>24.080000000000002</v>
      </c>
      <c r="J60" s="75">
        <f t="shared" si="11"/>
        <v>15.05</v>
      </c>
      <c r="K60" s="60" t="s">
        <v>91</v>
      </c>
    </row>
    <row r="61" spans="1:12" ht="14.4" customHeight="1" thickBot="1" x14ac:dyDescent="0.3">
      <c r="A61" s="28" t="s">
        <v>99</v>
      </c>
      <c r="B61" s="63">
        <f>IF(IFERROR((((($B$48)/$B$47)*B$58)/$B$43),9999)&gt;3500,3500,IFERROR((((($B$48)/$B$47)*B$58)/$B$43),9999))</f>
        <v>3500</v>
      </c>
      <c r="C61" s="63">
        <f t="shared" ref="C61:J61" si="12">IF(IFERROR((((($B$48)/$B$47)*C$58)/$B$43),9999)&gt;3500,3500,IFERROR((((($B$48)/$B$47)*C$58)/$B$43),9999))</f>
        <v>3500</v>
      </c>
      <c r="D61" s="63">
        <f t="shared" si="12"/>
        <v>3500</v>
      </c>
      <c r="E61" s="63">
        <f t="shared" si="12"/>
        <v>3500</v>
      </c>
      <c r="F61" s="63">
        <f t="shared" si="12"/>
        <v>3500</v>
      </c>
      <c r="G61" s="63">
        <f t="shared" si="12"/>
        <v>3500</v>
      </c>
      <c r="H61" s="63">
        <f t="shared" si="12"/>
        <v>3500</v>
      </c>
      <c r="I61" s="63">
        <f t="shared" si="12"/>
        <v>3500</v>
      </c>
      <c r="J61" s="63">
        <f t="shared" si="12"/>
        <v>3500</v>
      </c>
      <c r="K61" s="28" t="s">
        <v>89</v>
      </c>
    </row>
    <row r="62" spans="1:12" ht="14.4" customHeight="1" x14ac:dyDescent="0.25">
      <c r="A62" s="12"/>
      <c r="B62" s="52" t="s">
        <v>100</v>
      </c>
      <c r="D62" s="52"/>
      <c r="E62" s="17"/>
    </row>
    <row r="63" spans="1:12" ht="14.4" customHeight="1" thickBot="1" x14ac:dyDescent="0.3">
      <c r="A63" s="12"/>
      <c r="E63" s="17"/>
    </row>
    <row r="64" spans="1:12" ht="14.4" customHeight="1" thickBot="1" x14ac:dyDescent="0.3">
      <c r="A64" s="8" t="s">
        <v>101</v>
      </c>
      <c r="B64" s="48"/>
      <c r="C64" s="48"/>
      <c r="D64" s="49"/>
      <c r="E64" s="17"/>
    </row>
    <row r="65" spans="1:12" ht="14.4" customHeight="1" x14ac:dyDescent="0.25">
      <c r="A65" s="30" t="s">
        <v>102</v>
      </c>
      <c r="B65" s="76">
        <f>$B$10</f>
        <v>1.5</v>
      </c>
      <c r="C65" s="25"/>
      <c r="D65" s="31" t="s">
        <v>98</v>
      </c>
      <c r="E65" s="17"/>
      <c r="H65" s="51" t="str">
        <f>IF(B65&lt;0.5,"Error: The Minimum Cable Seccion in the Loop is 0,5 mm2","")</f>
        <v/>
      </c>
    </row>
    <row r="66" spans="1:12" ht="14.4" customHeight="1" x14ac:dyDescent="0.25">
      <c r="A66" s="15" t="s">
        <v>103</v>
      </c>
      <c r="B66" s="89">
        <f>$B$11</f>
        <v>1000</v>
      </c>
      <c r="C66" s="27"/>
      <c r="D66" s="29" t="s">
        <v>51</v>
      </c>
      <c r="E66" s="17"/>
      <c r="H66" s="51" t="str">
        <f>IF(B66&gt;3500,"Error: The Maximum Lenght in the Line is 3500 meters","")</f>
        <v/>
      </c>
    </row>
    <row r="67" spans="1:12" ht="14.4" customHeight="1" x14ac:dyDescent="0.25">
      <c r="A67" s="15" t="s">
        <v>104</v>
      </c>
      <c r="B67" s="89">
        <f>((($B$43*B66)/B65)*2)</f>
        <v>22.933333333333334</v>
      </c>
      <c r="C67" s="27"/>
      <c r="D67" s="38" t="s">
        <v>91</v>
      </c>
      <c r="E67" s="17"/>
    </row>
    <row r="68" spans="1:12" ht="14.4" customHeight="1" thickBot="1" x14ac:dyDescent="0.3">
      <c r="A68" s="16" t="s">
        <v>105</v>
      </c>
      <c r="B68" s="99">
        <f>B67/2</f>
        <v>11.466666666666667</v>
      </c>
      <c r="C68" s="39"/>
      <c r="D68" s="40" t="s">
        <v>91</v>
      </c>
      <c r="E68" s="17"/>
    </row>
    <row r="69" spans="1:12" ht="14.4" customHeight="1" x14ac:dyDescent="0.25">
      <c r="A69" s="105" t="s">
        <v>106</v>
      </c>
      <c r="B69" s="106">
        <f>$B$48/$B$68</f>
        <v>0.6017441860465117</v>
      </c>
      <c r="C69" s="107"/>
      <c r="D69" s="106" t="s">
        <v>82</v>
      </c>
      <c r="E69" s="17"/>
    </row>
    <row r="70" spans="1:12" ht="14.4" customHeight="1" thickBot="1" x14ac:dyDescent="0.3">
      <c r="A70" s="102"/>
      <c r="B70" s="103"/>
      <c r="C70" s="104"/>
      <c r="D70" s="103"/>
      <c r="E70" s="17"/>
    </row>
    <row r="71" spans="1:12" ht="14.4" customHeight="1" thickBot="1" x14ac:dyDescent="0.3">
      <c r="A71" s="8" t="s">
        <v>48</v>
      </c>
      <c r="B71" s="48"/>
      <c r="C71" s="48"/>
      <c r="D71" s="49"/>
      <c r="E71" s="17"/>
    </row>
    <row r="72" spans="1:12" ht="14.4" customHeight="1" thickBot="1" x14ac:dyDescent="0.3">
      <c r="A72" s="8" t="s">
        <v>35</v>
      </c>
      <c r="B72" s="49"/>
      <c r="D72" s="56" t="str">
        <f>IF($B$47&gt;0.5,"FAIL",IF($B$69&gt;=$B$47,"OK","FAIL"))</f>
        <v>OK</v>
      </c>
      <c r="E72" s="17"/>
      <c r="G72" s="51"/>
      <c r="H72" s="51"/>
    </row>
    <row r="73" spans="1:12" ht="14.4" customHeight="1" thickBot="1" x14ac:dyDescent="0.3">
      <c r="A73" s="8" t="s">
        <v>36</v>
      </c>
      <c r="B73" s="49"/>
      <c r="C73" s="44"/>
      <c r="D73" s="55" t="str">
        <f>IF($M$33&lt;=200,"OK","FAIL")</f>
        <v>OK</v>
      </c>
      <c r="E73" s="17"/>
      <c r="G73" s="51"/>
      <c r="H73" s="51"/>
    </row>
    <row r="74" spans="1:12" ht="14.4" customHeight="1" x14ac:dyDescent="0.25">
      <c r="A74" s="12"/>
      <c r="D74" s="51" t="str">
        <f>IF($B$47&gt;0.5,"Error: The Loop Current is upper that Maximum Current allowed",IF($B$69&lt;$B$47,"Error: The Loop Current is upper that Maximum Current allowed",""))</f>
        <v/>
      </c>
      <c r="E74" s="17"/>
    </row>
    <row r="75" spans="1:12" ht="14.4" customHeight="1" x14ac:dyDescent="0.25">
      <c r="A75" s="12"/>
      <c r="D75" s="51" t="str">
        <f>IF($M$33&gt;200,"Error: The Loop cannot contain more than 200 addresses","")</f>
        <v/>
      </c>
      <c r="E75" s="17"/>
    </row>
    <row r="77" spans="1:12" ht="27" customHeight="1" x14ac:dyDescent="0.25">
      <c r="A77" s="133" t="s">
        <v>45</v>
      </c>
      <c r="B77" s="133"/>
      <c r="C77" s="133"/>
      <c r="D77" s="133"/>
      <c r="E77" s="133"/>
      <c r="F77" s="133"/>
      <c r="G77" s="133"/>
      <c r="H77" s="133"/>
      <c r="I77" s="133"/>
      <c r="J77" s="133"/>
      <c r="K77" s="133"/>
      <c r="L77" s="133"/>
    </row>
  </sheetData>
  <sheetProtection sheet="1" sort="0" autoFilter="0" pivotTables="0"/>
  <mergeCells count="3">
    <mergeCell ref="K10:L10"/>
    <mergeCell ref="K11:L11"/>
    <mergeCell ref="A77:L77"/>
  </mergeCells>
  <conditionalFormatting sqref="B11">
    <cfRule type="cellIs" dxfId="17" priority="1" operator="greaterThan">
      <formula>3500</formula>
    </cfRule>
  </conditionalFormatting>
  <conditionalFormatting sqref="B19:B32">
    <cfRule type="cellIs" dxfId="16" priority="11" operator="greaterThan">
      <formula>200</formula>
    </cfRule>
  </conditionalFormatting>
  <conditionalFormatting sqref="B28">
    <cfRule type="cellIs" dxfId="15" priority="2" operator="greaterThan">
      <formula>30</formula>
    </cfRule>
  </conditionalFormatting>
  <conditionalFormatting sqref="B44:B47">
    <cfRule type="cellIs" dxfId="14" priority="7" operator="greaterThan">
      <formula>0.5</formula>
    </cfRule>
  </conditionalFormatting>
  <conditionalFormatting sqref="B54">
    <cfRule type="containsErrors" dxfId="13" priority="24">
      <formula>ISERROR(B54)</formula>
    </cfRule>
  </conditionalFormatting>
  <conditionalFormatting sqref="B61">
    <cfRule type="containsErrors" dxfId="12" priority="15">
      <formula>ISERROR(B61)</formula>
    </cfRule>
  </conditionalFormatting>
  <conditionalFormatting sqref="B52:J53">
    <cfRule type="containsErrors" dxfId="11" priority="18">
      <formula>ISERROR(B52)</formula>
    </cfRule>
  </conditionalFormatting>
  <conditionalFormatting sqref="B59:J60">
    <cfRule type="containsErrors" dxfId="10" priority="17">
      <formula>ISERROR(B59)</formula>
    </cfRule>
  </conditionalFormatting>
  <conditionalFormatting sqref="D38:D40">
    <cfRule type="expression" dxfId="9" priority="9" stopIfTrue="1">
      <formula>#REF!&gt;2</formula>
    </cfRule>
    <cfRule type="expression" dxfId="8" priority="10" stopIfTrue="1">
      <formula>#REF!&lt;3</formula>
    </cfRule>
  </conditionalFormatting>
  <conditionalFormatting sqref="D72:D73">
    <cfRule type="cellIs" dxfId="7" priority="21" stopIfTrue="1" operator="equal">
      <formula>"FAIL"</formula>
    </cfRule>
  </conditionalFormatting>
  <conditionalFormatting sqref="D33:H33">
    <cfRule type="cellIs" dxfId="6" priority="6" operator="greaterThan">
      <formula>0.5</formula>
    </cfRule>
  </conditionalFormatting>
  <conditionalFormatting sqref="D54:J54">
    <cfRule type="containsErrors" dxfId="5" priority="16">
      <formula>ISERROR(D54)</formula>
    </cfRule>
  </conditionalFormatting>
  <conditionalFormatting sqref="D61:J61">
    <cfRule type="containsErrors" dxfId="4" priority="14">
      <formula>ISERROR(D61)</formula>
    </cfRule>
  </conditionalFormatting>
  <conditionalFormatting sqref="I31">
    <cfRule type="cellIs" dxfId="3" priority="3" operator="equal">
      <formula>0</formula>
    </cfRule>
  </conditionalFormatting>
  <conditionalFormatting sqref="I33:M33">
    <cfRule type="cellIs" dxfId="2" priority="5" operator="greaterThan">
      <formula>200</formula>
    </cfRule>
  </conditionalFormatting>
  <conditionalFormatting sqref="K19:K32">
    <cfRule type="cellIs" dxfId="1" priority="13" operator="equal">
      <formula>0</formula>
    </cfRule>
  </conditionalFormatting>
  <conditionalFormatting sqref="M10:M11">
    <cfRule type="cellIs" dxfId="0" priority="19" stopIfTrue="1" operator="equal">
      <formula>"FAIL"</formula>
    </cfRule>
  </conditionalFormatting>
  <pageMargins left="0.78740157480314965" right="0.39370078740157483" top="0.39370078740157483" bottom="0.39370078740157483" header="0" footer="0"/>
  <pageSetup paperSize="9" scale="60" orientation="portrait" horizontalDpi="1200" verticalDpi="1200" r:id="rId1"/>
  <headerFooter alignWithMargins="0">
    <oddHeader>&amp;L&amp;F&amp;R&amp;A</oddHeader>
    <oddFooter>&amp;L&amp;P / &amp;N&amp;R&amp;D &amp;T</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81E1CB28-49EA-4EF2-AD4F-08FDDBD9E485}">
          <x14:formula1>
            <xm:f>Data!$A$9:$A$14</xm:f>
          </x14:formula1>
          <xm:sqref>B10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5133E-1250-465B-9088-6E5E8C2898AD}">
  <sheetPr codeName="Hoja1"/>
  <dimension ref="A1:E49"/>
  <sheetViews>
    <sheetView zoomScaleNormal="100" workbookViewId="0"/>
  </sheetViews>
  <sheetFormatPr defaultColWidth="11.44140625" defaultRowHeight="13.2" x14ac:dyDescent="0.25"/>
  <cols>
    <col min="1" max="1" width="22.6640625" customWidth="1"/>
    <col min="2" max="4" width="12.6640625" customWidth="1"/>
    <col min="5" max="5" width="22.6640625" customWidth="1"/>
  </cols>
  <sheetData>
    <row r="1" spans="1:5" ht="15" customHeight="1" x14ac:dyDescent="0.25"/>
    <row r="2" spans="1:5" ht="15" customHeight="1" x14ac:dyDescent="0.25"/>
    <row r="3" spans="1:5" ht="15" customHeight="1" x14ac:dyDescent="0.25"/>
    <row r="4" spans="1:5" ht="15" customHeight="1" x14ac:dyDescent="0.25"/>
    <row r="5" spans="1:5" ht="15" customHeight="1" x14ac:dyDescent="0.25"/>
    <row r="6" spans="1:5" ht="15" customHeight="1" x14ac:dyDescent="0.25"/>
    <row r="7" spans="1:5" ht="15" customHeight="1" x14ac:dyDescent="0.25"/>
    <row r="8" spans="1:5" x14ac:dyDescent="0.25">
      <c r="A8" s="108" t="s">
        <v>107</v>
      </c>
      <c r="B8" s="108" t="s">
        <v>108</v>
      </c>
      <c r="D8" s="116">
        <v>0.5</v>
      </c>
      <c r="E8" s="26" t="s">
        <v>107</v>
      </c>
    </row>
    <row r="9" spans="1:5" x14ac:dyDescent="0.25">
      <c r="A9" s="27">
        <v>0.5</v>
      </c>
      <c r="B9" s="27">
        <v>21</v>
      </c>
      <c r="D9" s="109">
        <f>VLOOKUP(D8,Data!$A$9:$B$14,2,FALSE)</f>
        <v>21</v>
      </c>
      <c r="E9" s="26" t="s">
        <v>109</v>
      </c>
    </row>
    <row r="10" spans="1:5" x14ac:dyDescent="0.25">
      <c r="A10" s="27">
        <v>0.8</v>
      </c>
      <c r="B10" s="27">
        <v>20</v>
      </c>
    </row>
    <row r="11" spans="1:5" x14ac:dyDescent="0.25">
      <c r="A11" s="27">
        <v>1</v>
      </c>
      <c r="B11" s="27">
        <v>18</v>
      </c>
    </row>
    <row r="12" spans="1:5" x14ac:dyDescent="0.25">
      <c r="A12" s="27">
        <v>1.5</v>
      </c>
      <c r="B12" s="27">
        <v>16</v>
      </c>
    </row>
    <row r="13" spans="1:5" x14ac:dyDescent="0.25">
      <c r="A13" s="27">
        <v>2</v>
      </c>
      <c r="B13" s="27">
        <v>15</v>
      </c>
    </row>
    <row r="14" spans="1:5" x14ac:dyDescent="0.25">
      <c r="A14" s="27">
        <v>2.5</v>
      </c>
      <c r="B14" s="27">
        <v>14</v>
      </c>
    </row>
    <row r="16" spans="1:5" x14ac:dyDescent="0.25">
      <c r="A16" s="108" t="s">
        <v>110</v>
      </c>
      <c r="D16" s="110">
        <v>72</v>
      </c>
      <c r="E16" s="27" t="s">
        <v>110</v>
      </c>
    </row>
    <row r="17" spans="1:5" x14ac:dyDescent="0.25">
      <c r="A17" s="27">
        <v>72</v>
      </c>
    </row>
    <row r="18" spans="1:5" x14ac:dyDescent="0.25">
      <c r="A18" s="27">
        <v>48</v>
      </c>
    </row>
    <row r="19" spans="1:5" x14ac:dyDescent="0.25">
      <c r="A19" s="27">
        <v>30</v>
      </c>
    </row>
    <row r="20" spans="1:5" x14ac:dyDescent="0.25">
      <c r="A20" s="27">
        <v>24</v>
      </c>
    </row>
    <row r="21" spans="1:5" x14ac:dyDescent="0.25">
      <c r="A21" s="27">
        <v>4</v>
      </c>
    </row>
    <row r="23" spans="1:5" x14ac:dyDescent="0.25">
      <c r="A23" s="108" t="s">
        <v>111</v>
      </c>
      <c r="D23" s="111">
        <v>30</v>
      </c>
      <c r="E23" s="26" t="s">
        <v>111</v>
      </c>
    </row>
    <row r="24" spans="1:5" x14ac:dyDescent="0.25">
      <c r="A24" s="27">
        <v>30</v>
      </c>
    </row>
    <row r="25" spans="1:5" x14ac:dyDescent="0.25">
      <c r="A25" s="27">
        <v>15</v>
      </c>
    </row>
    <row r="26" spans="1:5" x14ac:dyDescent="0.25">
      <c r="A26" s="27">
        <v>5</v>
      </c>
    </row>
    <row r="27" spans="1:5" x14ac:dyDescent="0.25">
      <c r="A27" s="27">
        <v>0</v>
      </c>
    </row>
    <row r="29" spans="1:5" x14ac:dyDescent="0.25">
      <c r="A29" s="108" t="s">
        <v>112</v>
      </c>
      <c r="B29" s="108" t="s">
        <v>7</v>
      </c>
      <c r="C29" s="108" t="s">
        <v>8</v>
      </c>
    </row>
    <row r="30" spans="1:5" x14ac:dyDescent="0.25">
      <c r="A30" s="26" t="s">
        <v>9</v>
      </c>
      <c r="B30" s="112">
        <v>0.2</v>
      </c>
      <c r="C30" s="112">
        <v>0.2</v>
      </c>
    </row>
    <row r="32" spans="1:5" x14ac:dyDescent="0.25">
      <c r="A32" s="108" t="s">
        <v>113</v>
      </c>
      <c r="B32" s="108" t="s">
        <v>7</v>
      </c>
      <c r="C32" s="108" t="s">
        <v>8</v>
      </c>
    </row>
    <row r="33" spans="1:5" x14ac:dyDescent="0.25">
      <c r="A33" s="26" t="s">
        <v>15</v>
      </c>
      <c r="B33" s="112">
        <v>5.0000000000000044E-3</v>
      </c>
      <c r="C33" s="112">
        <v>5.0000000000000044E-3</v>
      </c>
    </row>
    <row r="34" spans="1:5" x14ac:dyDescent="0.25">
      <c r="A34" s="26" t="s">
        <v>17</v>
      </c>
      <c r="B34" s="112">
        <v>0.03</v>
      </c>
      <c r="C34" s="112">
        <v>0.03</v>
      </c>
    </row>
    <row r="35" spans="1:5" x14ac:dyDescent="0.25">
      <c r="A35" s="26" t="s">
        <v>18</v>
      </c>
      <c r="B35" s="112">
        <v>2.5999999999999995E-2</v>
      </c>
      <c r="C35" s="112">
        <v>2.5999999999999995E-2</v>
      </c>
    </row>
    <row r="36" spans="1:5" x14ac:dyDescent="0.25">
      <c r="A36" s="26" t="s">
        <v>19</v>
      </c>
      <c r="B36" s="112">
        <v>4.5000000000000012E-2</v>
      </c>
      <c r="C36" s="112">
        <v>4.5000000000000012E-2</v>
      </c>
    </row>
    <row r="37" spans="1:5" x14ac:dyDescent="0.25">
      <c r="A37" s="12"/>
    </row>
    <row r="38" spans="1:5" ht="39.6" x14ac:dyDescent="0.25">
      <c r="A38" s="108" t="s">
        <v>27</v>
      </c>
      <c r="B38" s="113" t="s">
        <v>114</v>
      </c>
      <c r="C38" s="113" t="s">
        <v>115</v>
      </c>
      <c r="D38" s="113" t="s">
        <v>116</v>
      </c>
      <c r="E38" s="108" t="s">
        <v>117</v>
      </c>
    </row>
    <row r="39" spans="1:5" x14ac:dyDescent="0.25">
      <c r="A39" s="27" t="s">
        <v>118</v>
      </c>
      <c r="B39" s="27">
        <v>12</v>
      </c>
      <c r="C39" s="27">
        <v>7</v>
      </c>
      <c r="D39" s="26">
        <v>6.4</v>
      </c>
      <c r="E39" s="26" t="s">
        <v>119</v>
      </c>
    </row>
    <row r="40" spans="1:5" x14ac:dyDescent="0.25">
      <c r="A40" s="27" t="s">
        <v>120</v>
      </c>
      <c r="B40" s="27">
        <v>12</v>
      </c>
      <c r="C40" s="27">
        <v>7</v>
      </c>
      <c r="D40" s="26">
        <v>6.4</v>
      </c>
      <c r="E40" s="26" t="s">
        <v>119</v>
      </c>
    </row>
    <row r="41" spans="1:5" x14ac:dyDescent="0.25">
      <c r="A41" s="27" t="s">
        <v>121</v>
      </c>
      <c r="B41" s="27">
        <v>12</v>
      </c>
      <c r="C41" s="27">
        <v>12</v>
      </c>
      <c r="D41" s="27">
        <v>11.1</v>
      </c>
      <c r="E41" s="26" t="s">
        <v>119</v>
      </c>
    </row>
    <row r="42" spans="1:5" x14ac:dyDescent="0.25">
      <c r="A42" s="27" t="s">
        <v>30</v>
      </c>
      <c r="B42" s="27">
        <v>12</v>
      </c>
      <c r="C42" s="27">
        <v>12</v>
      </c>
      <c r="D42" s="27">
        <v>11.1</v>
      </c>
      <c r="E42" s="26" t="s">
        <v>119</v>
      </c>
    </row>
    <row r="43" spans="1:5" x14ac:dyDescent="0.25">
      <c r="A43" s="27" t="s">
        <v>122</v>
      </c>
      <c r="B43" s="27">
        <v>12</v>
      </c>
      <c r="C43" s="27">
        <v>17</v>
      </c>
      <c r="D43" s="27">
        <v>15.7</v>
      </c>
      <c r="E43" s="26" t="s">
        <v>123</v>
      </c>
    </row>
    <row r="44" spans="1:5" x14ac:dyDescent="0.25">
      <c r="A44" s="27" t="s">
        <v>124</v>
      </c>
      <c r="B44" s="27">
        <v>12</v>
      </c>
      <c r="C44" s="27">
        <v>17</v>
      </c>
      <c r="D44" s="27">
        <v>15.7</v>
      </c>
      <c r="E44" s="26" t="s">
        <v>123</v>
      </c>
    </row>
    <row r="46" spans="1:5" ht="39.6" x14ac:dyDescent="0.25">
      <c r="A46" s="108" t="s">
        <v>27</v>
      </c>
      <c r="B46" s="113" t="s">
        <v>115</v>
      </c>
    </row>
    <row r="47" spans="1:5" x14ac:dyDescent="0.25">
      <c r="A47" s="27"/>
      <c r="B47" s="27">
        <v>7</v>
      </c>
    </row>
    <row r="48" spans="1:5" x14ac:dyDescent="0.25">
      <c r="A48" s="27"/>
      <c r="B48" s="27">
        <v>12</v>
      </c>
    </row>
    <row r="49" spans="1:2" x14ac:dyDescent="0.25">
      <c r="A49" s="27"/>
      <c r="B49" s="27">
        <v>17</v>
      </c>
    </row>
  </sheetData>
  <sheetProtection selectLockedCells="1" selectUnlockedCells="1"/>
  <phoneticPr fontId="9" type="noConversion"/>
  <dataValidations disablePrompts="1" count="3">
    <dataValidation type="list" allowBlank="1" showInputMessage="1" showErrorMessage="1" sqref="D8" xr:uid="{98275F02-8797-4818-9C1E-8A3A3769B914}">
      <formula1>$A$9:$A$14</formula1>
    </dataValidation>
    <dataValidation type="list" allowBlank="1" showInputMessage="1" showErrorMessage="1" sqref="D16" xr:uid="{513B9197-AFC7-4092-9EA3-BA9F935D6870}">
      <formula1>$A$17:$A$21</formula1>
    </dataValidation>
    <dataValidation type="list" allowBlank="1" showInputMessage="1" showErrorMessage="1" sqref="D23" xr:uid="{74805536-CE89-430A-AA5F-C540970E4752}">
      <formula1>$A$24:$A$27</formula1>
    </dataValidation>
  </dataValidation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879be9d5-904d-432e-9529-594ef612d6e7">
      <Terms xmlns="http://schemas.microsoft.com/office/infopath/2007/PartnerControls"/>
    </lcf76f155ced4ddcb4097134ff3c332f>
    <TaxCatchAll xmlns="b119daf9-bd4c-4e64-b961-c3ef77bc87d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6A7B2752F9A4841AC9E04EBFBA1FAC5" ma:contentTypeVersion="15" ma:contentTypeDescription="Create a new document." ma:contentTypeScope="" ma:versionID="f9c7c474cc744569d037ffce73b7ff09">
  <xsd:schema xmlns:xsd="http://www.w3.org/2001/XMLSchema" xmlns:xs="http://www.w3.org/2001/XMLSchema" xmlns:p="http://schemas.microsoft.com/office/2006/metadata/properties" xmlns:ns2="879be9d5-904d-432e-9529-594ef612d6e7" xmlns:ns3="b119daf9-bd4c-4e64-b961-c3ef77bc87dc" targetNamespace="http://schemas.microsoft.com/office/2006/metadata/properties" ma:root="true" ma:fieldsID="7dd828a8ab3c09078b67bf643d03036d" ns2:_="" ns3:_="">
    <xsd:import namespace="879be9d5-904d-432e-9529-594ef612d6e7"/>
    <xsd:import namespace="b119daf9-bd4c-4e64-b961-c3ef77bc87dc"/>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DateTaken" minOccurs="0"/>
                <xsd:element ref="ns2:MediaServiceLocatio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79be9d5-904d-432e-9529-594ef612d6e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22adef02-d03f-4f27-b1bf-272bfb3bdacf" ma:termSetId="09814cd3-568e-fe90-9814-8d621ff8fb84" ma:anchorId="fba54fb3-c3e1-fe81-a776-ca4b69148c4d" ma:open="true" ma:isKeyword="false">
      <xsd:complexType>
        <xsd:sequence>
          <xsd:element ref="pc:Terms" minOccurs="0" maxOccurs="1"/>
        </xsd:sequence>
      </xsd:complex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Location" ma:index="14" nillable="true" ma:displayName="Location" ma:indexed="true" ma:internalName="MediaServiceLocatio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119daf9-bd4c-4e64-b961-c3ef77bc87dc"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f831305-4b8a-4c7c-9a2d-b4b04df6ca82}" ma:internalName="TaxCatchAll" ma:showField="CatchAllData" ma:web="b119daf9-bd4c-4e64-b961-c3ef77bc87d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9D9ADBE-4D8F-49D0-A7EF-FAF4D19ECD21}">
  <ds:schemaRefs>
    <ds:schemaRef ds:uri="http://schemas.microsoft.com/office/2006/metadata/properties"/>
    <ds:schemaRef ds:uri="http://schemas.microsoft.com/office/infopath/2007/PartnerControls"/>
    <ds:schemaRef ds:uri="879be9d5-904d-432e-9529-594ef612d6e7"/>
    <ds:schemaRef ds:uri="b119daf9-bd4c-4e64-b961-c3ef77bc87dc"/>
  </ds:schemaRefs>
</ds:datastoreItem>
</file>

<file path=customXml/itemProps2.xml><?xml version="1.0" encoding="utf-8"?>
<ds:datastoreItem xmlns:ds="http://schemas.openxmlformats.org/officeDocument/2006/customXml" ds:itemID="{8DA9A85D-119C-410B-8869-DE425640A3D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79be9d5-904d-432e-9529-594ef612d6e7"/>
    <ds:schemaRef ds:uri="b119daf9-bd4c-4e64-b961-c3ef77bc87d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31F1ECC-7E7B-42F0-91B8-97395E1015F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Fulls de càlcul</vt:lpstr>
      </vt:variant>
      <vt:variant>
        <vt:i4>10</vt:i4>
      </vt:variant>
      <vt:variant>
        <vt:lpstr>Intervals amb nom</vt:lpstr>
      </vt:variant>
      <vt:variant>
        <vt:i4>9</vt:i4>
      </vt:variant>
    </vt:vector>
  </HeadingPairs>
  <TitlesOfParts>
    <vt:vector size="19" baseType="lpstr">
      <vt:lpstr>System Calculation</vt:lpstr>
      <vt:lpstr>SC_Loop 1</vt:lpstr>
      <vt:lpstr>SC_Loop 2</vt:lpstr>
      <vt:lpstr>SC_Loop 3</vt:lpstr>
      <vt:lpstr>SC_Loop 4</vt:lpstr>
      <vt:lpstr>SC_Loop 5</vt:lpstr>
      <vt:lpstr>SC_Loop 6</vt:lpstr>
      <vt:lpstr>SC_Loop 7</vt:lpstr>
      <vt:lpstr>SC_Loop 8</vt:lpstr>
      <vt:lpstr>Data</vt:lpstr>
      <vt:lpstr>'SC_Loop 1'!Àrea_d'impressió</vt:lpstr>
      <vt:lpstr>'SC_Loop 2'!Àrea_d'impressió</vt:lpstr>
      <vt:lpstr>'SC_Loop 3'!Àrea_d'impressió</vt:lpstr>
      <vt:lpstr>'SC_Loop 4'!Àrea_d'impressió</vt:lpstr>
      <vt:lpstr>'SC_Loop 5'!Àrea_d'impressió</vt:lpstr>
      <vt:lpstr>'SC_Loop 6'!Àrea_d'impressió</vt:lpstr>
      <vt:lpstr>'SC_Loop 7'!Àrea_d'impressió</vt:lpstr>
      <vt:lpstr>'SC_Loop 8'!Àrea_d'impressió</vt:lpstr>
      <vt:lpstr>'System Calculation'!Àrea_d'impressió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Jose Miguel Cabrera</dc:creator>
  <cp:keywords/>
  <dc:description/>
  <cp:lastModifiedBy>Guillem Pacheco - JADEBIRD</cp:lastModifiedBy>
  <cp:revision/>
  <dcterms:created xsi:type="dcterms:W3CDTF">2012-08-10T08:25:10Z</dcterms:created>
  <dcterms:modified xsi:type="dcterms:W3CDTF">2024-12-11T09:46:36Z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0x01010076A7B2752F9A4841AC9E04EBFBA1FAC5</vt:lpwstr>
  </property>
  <property fmtid="{D5CDD505-2E9C-101B-9397-08002B2CF9AE}" pid="3" name="MediaServiceImageTags">
    <vt:lpwstr/>
  </property>
</Properties>
</file>